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0" windowWidth="11745" windowHeight="11610" tabRatio="705" activeTab="0"/>
  </bookViews>
  <sheets>
    <sheet name="Eingabe u. Ergebnisse" sheetId="1" r:id="rId1"/>
    <sheet name="Berechnung" sheetId="2" r:id="rId2"/>
  </sheets>
  <definedNames>
    <definedName name="_xlnm.Print_Area" localSheetId="1">'Berechnung'!$E$22:$U$87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<sst xmlns="http://schemas.openxmlformats.org/spreadsheetml/2006/main" count="163" uniqueCount="144">
  <si>
    <t>alpha1</t>
  </si>
  <si>
    <t>gamma</t>
  </si>
  <si>
    <t>eps 1</t>
  </si>
  <si>
    <t>eps 2</t>
  </si>
  <si>
    <r>
      <t>n</t>
    </r>
    <r>
      <rPr>
        <vertAlign val="subscript"/>
        <sz val="12"/>
        <rFont val="Arial"/>
        <family val="2"/>
      </rPr>
      <t>D1</t>
    </r>
    <r>
      <rPr>
        <sz val="12"/>
        <rFont val="Arial"/>
        <family val="2"/>
      </rPr>
      <t>,n</t>
    </r>
    <r>
      <rPr>
        <vertAlign val="subscript"/>
        <sz val="12"/>
        <rFont val="Arial"/>
        <family val="2"/>
      </rPr>
      <t>D2</t>
    </r>
  </si>
  <si>
    <r>
      <t>n</t>
    </r>
    <r>
      <rPr>
        <vertAlign val="subscript"/>
        <sz val="12"/>
        <rFont val="Arial"/>
        <family val="2"/>
      </rPr>
      <t>C1</t>
    </r>
    <r>
      <rPr>
        <sz val="12"/>
        <rFont val="Arial"/>
        <family val="2"/>
      </rPr>
      <t>,n</t>
    </r>
    <r>
      <rPr>
        <vertAlign val="subscript"/>
        <sz val="12"/>
        <rFont val="Arial"/>
        <family val="2"/>
      </rPr>
      <t>C2</t>
    </r>
  </si>
  <si>
    <r>
      <t>n</t>
    </r>
    <r>
      <rPr>
        <vertAlign val="subscript"/>
        <sz val="12"/>
        <rFont val="Arial"/>
        <family val="2"/>
      </rPr>
      <t>F1</t>
    </r>
    <r>
      <rPr>
        <sz val="12"/>
        <rFont val="Arial"/>
        <family val="2"/>
      </rPr>
      <t>,n</t>
    </r>
    <r>
      <rPr>
        <vertAlign val="subscript"/>
        <sz val="12"/>
        <rFont val="Arial"/>
        <family val="2"/>
      </rPr>
      <t>F2</t>
    </r>
  </si>
  <si>
    <t>gamma1neu eps1 D</t>
  </si>
  <si>
    <t>gamma1neu eps1 C</t>
  </si>
  <si>
    <t>gamma1neu eps1 F</t>
  </si>
  <si>
    <t>alpha2 D</t>
  </si>
  <si>
    <t>alpha2 C</t>
  </si>
  <si>
    <t>alpha2 F</t>
  </si>
  <si>
    <t>gamma2neueps2 D</t>
  </si>
  <si>
    <t>gamma2neueps2 F</t>
  </si>
  <si>
    <t>gamma2neueps2 C</t>
  </si>
  <si>
    <t>Abweichung D - C</t>
  </si>
  <si>
    <t>Abweichung D - F</t>
  </si>
  <si>
    <t>Summe Abw.^2, D - C</t>
  </si>
  <si>
    <t>Summe Abw.^2, D - F</t>
  </si>
  <si>
    <t>Abweichung^2 D - C</t>
  </si>
  <si>
    <t>Abweichung^2 D - F</t>
  </si>
  <si>
    <t xml:space="preserve">max. Farbfehler F-C mm </t>
  </si>
  <si>
    <t>Abweichung C - F</t>
  </si>
  <si>
    <t xml:space="preserve">max. Farbfehler D-C/D-F mm </t>
  </si>
  <si>
    <t>Abweichung^2 C - F</t>
  </si>
  <si>
    <t>Offset</t>
  </si>
  <si>
    <t>sm x</t>
  </si>
  <si>
    <t>sm y</t>
  </si>
  <si>
    <t>sm xy</t>
  </si>
  <si>
    <t>sm x2</t>
  </si>
  <si>
    <t>n</t>
  </si>
  <si>
    <t>Steigung b</t>
  </si>
  <si>
    <t>Abschn. A</t>
  </si>
  <si>
    <t>xm</t>
  </si>
  <si>
    <t>ym</t>
  </si>
  <si>
    <t>Steigung</t>
  </si>
  <si>
    <t>Istwert</t>
  </si>
  <si>
    <t>Sollwert</t>
  </si>
  <si>
    <t>gamma3neu eps1 D</t>
  </si>
  <si>
    <t>gamma3neu eps1 C</t>
  </si>
  <si>
    <t>gamma3neu eps1 F</t>
  </si>
  <si>
    <t>alpha3 D</t>
  </si>
  <si>
    <t>alpha3 C</t>
  </si>
  <si>
    <t>alpha3 F</t>
  </si>
  <si>
    <t>gamma4neueps2 D</t>
  </si>
  <si>
    <t>gamma4neueps2 C</t>
  </si>
  <si>
    <t>gamma4neueps2 F</t>
  </si>
  <si>
    <t>eps3</t>
  </si>
  <si>
    <t>eps4</t>
  </si>
  <si>
    <t>beta  1  2  3  4</t>
  </si>
  <si>
    <t>alpha4 D</t>
  </si>
  <si>
    <t>alpha4 C</t>
  </si>
  <si>
    <t>alpha4 F</t>
  </si>
  <si>
    <t>B 4:3</t>
  </si>
  <si>
    <t>nF</t>
  </si>
  <si>
    <t>nC</t>
  </si>
  <si>
    <t>Ausrichtung</t>
  </si>
  <si>
    <t>Medium</t>
  </si>
  <si>
    <t>nD</t>
  </si>
  <si>
    <t>n Fensterglas</t>
  </si>
  <si>
    <t>Methylnaphtalin</t>
  </si>
  <si>
    <t>Glycerin</t>
  </si>
  <si>
    <t>Flüssigkeit 1</t>
  </si>
  <si>
    <t>Name</t>
  </si>
  <si>
    <t>Brechungsindizees</t>
  </si>
  <si>
    <t>Flüssigkeit 2</t>
  </si>
  <si>
    <t>Prisma 1</t>
  </si>
  <si>
    <t>Prisma 2</t>
  </si>
  <si>
    <t>Prisma 3</t>
  </si>
  <si>
    <t>Prisma 4</t>
  </si>
  <si>
    <t>Projetionswinkel</t>
  </si>
  <si>
    <t>Scheitelwinkel  °</t>
  </si>
  <si>
    <t>Drehwinkel °</t>
  </si>
  <si>
    <t>Ausrichtung 1: Scheitel oben</t>
  </si>
  <si>
    <t>Flüssigkeit 1 oder 2</t>
  </si>
  <si>
    <t>Drehwinkel  berechnet zu</t>
  </si>
  <si>
    <t>Flüssigkeit ergibt sich zu</t>
  </si>
  <si>
    <t>Ausrichtung ergibt sich zu</t>
  </si>
  <si>
    <t>Eingaben</t>
  </si>
  <si>
    <t xml:space="preserve">Ergebnisse </t>
  </si>
  <si>
    <t xml:space="preserve">Soll-Geradensteigung </t>
  </si>
  <si>
    <t>Ist-Geradensteigung</t>
  </si>
  <si>
    <t>max. Linearitätsfehler %</t>
  </si>
  <si>
    <t>Offset °</t>
  </si>
  <si>
    <t>am Ausgang</t>
  </si>
  <si>
    <t xml:space="preserve">                 -1: Scheitel untern</t>
  </si>
  <si>
    <t>Winkel von/bis</t>
  </si>
  <si>
    <t>Strecken/
Stauch. 1/0</t>
  </si>
  <si>
    <t>von / bis</t>
  </si>
  <si>
    <t>Bildentfernung m</t>
  </si>
  <si>
    <t>Formatwandlung 16:9/21:9 (0/1)</t>
  </si>
  <si>
    <t>B gestaucht/gestreckt</t>
  </si>
  <si>
    <t>Entfernung</t>
  </si>
  <si>
    <t>Breite/Höhe</t>
  </si>
  <si>
    <t>Winkel</t>
  </si>
  <si>
    <t>Faktor</t>
  </si>
  <si>
    <t>oberer/unterer Offset</t>
  </si>
  <si>
    <t>Abweichung bez. Null</t>
  </si>
  <si>
    <t>Abweichung^2 bez. Null</t>
  </si>
  <si>
    <t>gamma4 soll</t>
  </si>
  <si>
    <t>gamma4 soll bez. Null</t>
  </si>
  <si>
    <t>Abweichung^2</t>
  </si>
  <si>
    <t>Summe Abw.^2</t>
  </si>
  <si>
    <t>Summe Abw.^2 bez. Null</t>
  </si>
  <si>
    <t>Wink.-Faktor</t>
  </si>
  <si>
    <t>max. 
Lin.-Fehler</t>
  </si>
  <si>
    <t>Abbe Zahl Flüssigkeit 1</t>
  </si>
  <si>
    <t>Abbe Zahl Flüssigkeit 2</t>
  </si>
  <si>
    <t>Achr.-Winkel Korr.-Prisma 1</t>
  </si>
  <si>
    <t>Achr.-Winkel Korr.-Prisma 2</t>
  </si>
  <si>
    <t>Konstante π/180</t>
  </si>
  <si>
    <t>beta 1</t>
  </si>
  <si>
    <t>beta 2</t>
  </si>
  <si>
    <t>beta 3</t>
  </si>
  <si>
    <t>beta 4</t>
  </si>
  <si>
    <t>Bildbreite/-höhe Eingang m</t>
  </si>
  <si>
    <t>max. Abweichung mm
bez. Null</t>
  </si>
  <si>
    <t>Bildstauchung/-streckung (0,1)</t>
  </si>
  <si>
    <t>min. Eintrittswinkel</t>
  </si>
  <si>
    <t>max. Eintrittswinkel</t>
  </si>
  <si>
    <t>min. Winkel aus Prisma 1</t>
  </si>
  <si>
    <t>min. Winkel aus Prisma 2</t>
  </si>
  <si>
    <t>min. Winkel aus Prisma 3</t>
  </si>
  <si>
    <t>min. Austrittswinkel</t>
  </si>
  <si>
    <t>max. Austrittswinkel</t>
  </si>
  <si>
    <t>max. Winkel aus Prisma 1</t>
  </si>
  <si>
    <t>max. Winkel aus Prisma 2</t>
  </si>
  <si>
    <t>max. Winkel aus Prisma 3</t>
  </si>
  <si>
    <t>min. Winkel in Prisma 1</t>
  </si>
  <si>
    <t>min. Winkel in Prisma 2</t>
  </si>
  <si>
    <t>min. Winkel in Prisma 3</t>
  </si>
  <si>
    <t>min. Winkel in Prisma 4</t>
  </si>
  <si>
    <t>max. Winkel in Prisma 4</t>
  </si>
  <si>
    <t>max. Winkel in Prisma 1</t>
  </si>
  <si>
    <t>max. Winkel in Prisma 2</t>
  </si>
  <si>
    <t>max. Winkel in Prisma 3</t>
  </si>
  <si>
    <t>Bildbr./-höhe, Soll, Ausg. m</t>
  </si>
  <si>
    <t>Bildbr./-höhe, Ist,   Ausg. m</t>
  </si>
  <si>
    <t>Bildbreite Istwert</t>
  </si>
  <si>
    <t>Max. Farbfehler D - C, mm</t>
  </si>
  <si>
    <t>Max. Farbfehler D - F, mm</t>
  </si>
  <si>
    <t>Max. Farbfehler C - F, mm</t>
  </si>
  <si>
    <t>Winkel   °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</si>
</sst>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"/>
    <numFmt numFmtId="174" formatCode="0.000000"/>
    <numFmt numFmtId="175" formatCode="0.0"/>
    <numFmt numFmtId="176" formatCode="0.00000"/>
    <numFmt numFmtId="177" formatCode="0.00\ &quot;%&quot;"/>
    <numFmt numFmtId="178" formatCode="0.000"/>
    <numFmt numFmtId="179" formatCode="0.00\ &quot;°&quot;"/>
  </numFmts>
  <fonts count="12">
    <font>
      <sz val="10"/>
      <name val="Arial"/>
      <family val="0"/>
    </font>
    <font>
      <sz val="16"/>
      <name val="Arial"/>
      <family val="0"/>
    </font>
    <font>
      <vertAlign val="subscript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7.2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1" xfId="0" applyNumberFormat="1" applyBorder="1" applyAlignment="1" quotePrefix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4" xfId="0" applyNumberFormat="1" applyBorder="1" applyAlignment="1" quotePrefix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11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4" fontId="0" fillId="0" borderId="0" xfId="0" applyNumberFormat="1" applyAlignment="1">
      <alignment/>
    </xf>
    <xf numFmtId="174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2" fontId="0" fillId="0" borderId="9" xfId="0" applyNumberForma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3" fontId="0" fillId="0" borderId="0" xfId="0" applyNumberForma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11" fontId="0" fillId="0" borderId="0" xfId="0" applyNumberFormat="1" applyBorder="1" applyAlignment="1" applyProtection="1">
      <alignment horizontal="center"/>
      <protection locked="0"/>
    </xf>
    <xf numFmtId="11" fontId="0" fillId="0" borderId="0" xfId="0" applyNumberFormat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 locked="0"/>
    </xf>
    <xf numFmtId="11" fontId="0" fillId="0" borderId="0" xfId="0" applyNumberForma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173" fontId="0" fillId="0" borderId="0" xfId="0" applyNumberFormat="1" applyBorder="1" applyAlignment="1" applyProtection="1" quotePrefix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74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11" fontId="4" fillId="0" borderId="0" xfId="0" applyNumberFormat="1" applyFont="1" applyAlignment="1" applyProtection="1">
      <alignment/>
      <protection locked="0"/>
    </xf>
    <xf numFmtId="173" fontId="0" fillId="0" borderId="2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2" fontId="4" fillId="0" borderId="0" xfId="0" applyNumberFormat="1" applyFont="1" applyAlignment="1" applyProtection="1">
      <alignment/>
      <protection/>
    </xf>
    <xf numFmtId="11" fontId="4" fillId="0" borderId="0" xfId="0" applyNumberFormat="1" applyFont="1" applyAlignment="1" applyProtection="1">
      <alignment/>
      <protection/>
    </xf>
    <xf numFmtId="178" fontId="4" fillId="3" borderId="9" xfId="0" applyNumberFormat="1" applyFont="1" applyFill="1" applyBorder="1" applyAlignment="1" applyProtection="1">
      <alignment horizontal="center" vertical="center" wrapText="1"/>
      <protection/>
    </xf>
    <xf numFmtId="178" fontId="4" fillId="3" borderId="9" xfId="0" applyNumberFormat="1" applyFont="1" applyFill="1" applyBorder="1" applyAlignment="1" applyProtection="1">
      <alignment horizontal="center" vertical="center"/>
      <protection/>
    </xf>
    <xf numFmtId="175" fontId="4" fillId="3" borderId="9" xfId="0" applyNumberFormat="1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2" fontId="4" fillId="4" borderId="0" xfId="0" applyNumberFormat="1" applyFont="1" applyFill="1" applyBorder="1" applyAlignment="1" applyProtection="1">
      <alignment horizontal="center" vertical="center"/>
      <protection/>
    </xf>
    <xf numFmtId="2" fontId="4" fillId="4" borderId="0" xfId="0" applyNumberFormat="1" applyFont="1" applyFill="1" applyBorder="1" applyAlignment="1" applyProtection="1">
      <alignment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2" fontId="4" fillId="3" borderId="9" xfId="0" applyNumberFormat="1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5" fontId="4" fillId="2" borderId="20" xfId="0" applyNumberFormat="1" applyFont="1" applyFill="1" applyBorder="1" applyAlignment="1" applyProtection="1">
      <alignment horizontal="center"/>
      <protection locked="0"/>
    </xf>
    <xf numFmtId="175" fontId="4" fillId="2" borderId="21" xfId="0" applyNumberFormat="1" applyFon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/>
    </xf>
    <xf numFmtId="0" fontId="4" fillId="3" borderId="21" xfId="0" applyFont="1" applyFill="1" applyBorder="1" applyAlignment="1" applyProtection="1">
      <alignment horizontal="center"/>
      <protection/>
    </xf>
    <xf numFmtId="175" fontId="4" fillId="3" borderId="20" xfId="0" applyNumberFormat="1" applyFont="1" applyFill="1" applyBorder="1" applyAlignment="1" applyProtection="1">
      <alignment horizontal="center"/>
      <protection/>
    </xf>
    <xf numFmtId="175" fontId="4" fillId="3" borderId="21" xfId="0" applyNumberFormat="1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 applyProtection="1">
      <alignment horizontal="center" vertical="center"/>
      <protection/>
    </xf>
    <xf numFmtId="11" fontId="4" fillId="0" borderId="2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Winkelabhängigkeit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125"/>
          <c:w val="0.913"/>
          <c:h val="0.88025"/>
        </c:manualLayout>
      </c:layout>
      <c:scatterChart>
        <c:scatterStyle val="smoothMarker"/>
        <c:varyColors val="0"/>
        <c:ser>
          <c:idx val="0"/>
          <c:order val="0"/>
          <c:tx>
            <c:v>berechnete Werte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Berechnung!$F$6:$BF$6</c:f>
              <c:numCache>
                <c:ptCount val="53"/>
                <c:pt idx="0">
                  <c:v>-12</c:v>
                </c:pt>
                <c:pt idx="1">
                  <c:v>-11.538461538461538</c:v>
                </c:pt>
                <c:pt idx="2">
                  <c:v>-11.076923076923077</c:v>
                </c:pt>
                <c:pt idx="3">
                  <c:v>-10.615384615384615</c:v>
                </c:pt>
                <c:pt idx="4">
                  <c:v>-10.153846153846153</c:v>
                </c:pt>
                <c:pt idx="5">
                  <c:v>-9.692307692307692</c:v>
                </c:pt>
                <c:pt idx="6">
                  <c:v>-9.23076923076923</c:v>
                </c:pt>
                <c:pt idx="7">
                  <c:v>-8.769230769230768</c:v>
                </c:pt>
                <c:pt idx="8">
                  <c:v>-8.307692307692307</c:v>
                </c:pt>
                <c:pt idx="9">
                  <c:v>-7.846153846153845</c:v>
                </c:pt>
                <c:pt idx="10">
                  <c:v>-7.384615384615383</c:v>
                </c:pt>
                <c:pt idx="11">
                  <c:v>-6.923076923076922</c:v>
                </c:pt>
                <c:pt idx="12">
                  <c:v>-6.46153846153846</c:v>
                </c:pt>
                <c:pt idx="13">
                  <c:v>-5.999999999999998</c:v>
                </c:pt>
                <c:pt idx="14">
                  <c:v>-5.5384615384615365</c:v>
                </c:pt>
                <c:pt idx="15">
                  <c:v>-5.076923076923075</c:v>
                </c:pt>
                <c:pt idx="16">
                  <c:v>-4.615384615384613</c:v>
                </c:pt>
                <c:pt idx="17">
                  <c:v>-4.1538461538461515</c:v>
                </c:pt>
                <c:pt idx="18">
                  <c:v>-3.69230769230769</c:v>
                </c:pt>
                <c:pt idx="19">
                  <c:v>-3.230769230769228</c:v>
                </c:pt>
                <c:pt idx="20">
                  <c:v>-2.7692307692307665</c:v>
                </c:pt>
                <c:pt idx="21">
                  <c:v>-2.307692307692305</c:v>
                </c:pt>
                <c:pt idx="22">
                  <c:v>-1.8461538461538431</c:v>
                </c:pt>
                <c:pt idx="23">
                  <c:v>-1.3846153846153815</c:v>
                </c:pt>
                <c:pt idx="24">
                  <c:v>-0.9230769230769199</c:v>
                </c:pt>
                <c:pt idx="25">
                  <c:v>-0.46153846153845834</c:v>
                </c:pt>
                <c:pt idx="26">
                  <c:v>3.219646771412954E-15</c:v>
                </c:pt>
                <c:pt idx="27">
                  <c:v>0.4615384615384648</c:v>
                </c:pt>
                <c:pt idx="28">
                  <c:v>0.9230769230769263</c:v>
                </c:pt>
                <c:pt idx="29">
                  <c:v>1.384615384615388</c:v>
                </c:pt>
                <c:pt idx="30">
                  <c:v>1.8461538461538494</c:v>
                </c:pt>
                <c:pt idx="31">
                  <c:v>2.307692307692311</c:v>
                </c:pt>
                <c:pt idx="32">
                  <c:v>2.7692307692307727</c:v>
                </c:pt>
                <c:pt idx="33">
                  <c:v>3.2307692307692344</c:v>
                </c:pt>
                <c:pt idx="34">
                  <c:v>3.692307692307696</c:v>
                </c:pt>
                <c:pt idx="35">
                  <c:v>4.153846153846158</c:v>
                </c:pt>
                <c:pt idx="36">
                  <c:v>4.615384615384619</c:v>
                </c:pt>
                <c:pt idx="37">
                  <c:v>5.076923076923081</c:v>
                </c:pt>
                <c:pt idx="38">
                  <c:v>5.538461538461543</c:v>
                </c:pt>
                <c:pt idx="39">
                  <c:v>6.000000000000004</c:v>
                </c:pt>
                <c:pt idx="40">
                  <c:v>6.461538461538466</c:v>
                </c:pt>
                <c:pt idx="41">
                  <c:v>6.923076923076928</c:v>
                </c:pt>
                <c:pt idx="42">
                  <c:v>7.3846153846153895</c:v>
                </c:pt>
                <c:pt idx="43">
                  <c:v>7.846153846153851</c:v>
                </c:pt>
                <c:pt idx="44">
                  <c:v>8.307692307692312</c:v>
                </c:pt>
                <c:pt idx="45">
                  <c:v>8.769230769230774</c:v>
                </c:pt>
                <c:pt idx="46">
                  <c:v>9.230769230769235</c:v>
                </c:pt>
                <c:pt idx="47">
                  <c:v>9.692307692307697</c:v>
                </c:pt>
                <c:pt idx="48">
                  <c:v>10.153846153846159</c:v>
                </c:pt>
                <c:pt idx="49">
                  <c:v>10.61538461538462</c:v>
                </c:pt>
                <c:pt idx="50">
                  <c:v>11.076923076923082</c:v>
                </c:pt>
                <c:pt idx="51">
                  <c:v>11.538461538461544</c:v>
                </c:pt>
                <c:pt idx="52">
                  <c:v>12</c:v>
                </c:pt>
              </c:numCache>
            </c:numRef>
          </c:xVal>
          <c:yVal>
            <c:numRef>
              <c:f>Berechnung!$F$38:$BF$38</c:f>
              <c:numCache>
                <c:ptCount val="53"/>
                <c:pt idx="0">
                  <c:v>-15.884761162976407</c:v>
                </c:pt>
                <c:pt idx="1">
                  <c:v>-15.241976863599287</c:v>
                </c:pt>
                <c:pt idx="2">
                  <c:v>-14.60312092341518</c:v>
                </c:pt>
                <c:pt idx="3">
                  <c:v>-13.967942991463449</c:v>
                </c:pt>
                <c:pt idx="4">
                  <c:v>-13.336207760051511</c:v>
                </c:pt>
                <c:pt idx="5">
                  <c:v>-12.70769350559932</c:v>
                </c:pt>
                <c:pt idx="6">
                  <c:v>-12.082190787316183</c:v>
                </c:pt>
                <c:pt idx="7">
                  <c:v>-11.459501282289022</c:v>
                </c:pt>
                <c:pt idx="8">
                  <c:v>-10.839436738816577</c:v>
                </c:pt>
                <c:pt idx="9">
                  <c:v>-10.221818032511944</c:v>
                </c:pt>
                <c:pt idx="10">
                  <c:v>-9.606474311926672</c:v>
                </c:pt>
                <c:pt idx="11">
                  <c:v>-8.993242222309025</c:v>
                </c:pt>
                <c:pt idx="12">
                  <c:v>-8.381965197663536</c:v>
                </c:pt>
                <c:pt idx="13">
                  <c:v>-7.772492812581523</c:v>
                </c:pt>
                <c:pt idx="14">
                  <c:v>-7.164680186410475</c:v>
                </c:pt>
                <c:pt idx="15">
                  <c:v>-6.558387433254598</c:v>
                </c:pt>
                <c:pt idx="16">
                  <c:v>-5.953479152079989</c:v>
                </c:pt>
                <c:pt idx="17">
                  <c:v>-5.349823951858848</c:v>
                </c:pt>
                <c:pt idx="18">
                  <c:v>-4.747294007246333</c:v>
                </c:pt>
                <c:pt idx="19">
                  <c:v>-4.145764640756413</c:v>
                </c:pt>
                <c:pt idx="20">
                  <c:v>-3.545113927800495</c:v>
                </c:pt>
                <c:pt idx="21">
                  <c:v>-2.945222321289698</c:v>
                </c:pt>
                <c:pt idx="22">
                  <c:v>-2.345972292779514</c:v>
                </c:pt>
                <c:pt idx="23">
                  <c:v>-1.747247987366448</c:v>
                </c:pt>
                <c:pt idx="24">
                  <c:v>-1.1489348897361484</c:v>
                </c:pt>
                <c:pt idx="25">
                  <c:v>-0.5509194989089412</c:v>
                </c:pt>
                <c:pt idx="26">
                  <c:v>0.04691099065560245</c:v>
                </c:pt>
                <c:pt idx="27">
                  <c:v>0.6446690038541494</c:v>
                </c:pt>
                <c:pt idx="28">
                  <c:v>1.2424668978435154</c:v>
                </c:pt>
                <c:pt idx="29">
                  <c:v>1.84041727524302</c:v>
                </c:pt>
                <c:pt idx="30">
                  <c:v>2.4386332998354234</c:v>
                </c:pt>
                <c:pt idx="31">
                  <c:v>3.037229017006723</c:v>
                </c:pt>
                <c:pt idx="32">
                  <c:v>3.636319681237701</c:v>
                </c:pt>
                <c:pt idx="33">
                  <c:v>4.236022093064584</c:v>
                </c:pt>
                <c:pt idx="34">
                  <c:v>4.836454948065292</c:v>
                </c:pt>
                <c:pt idx="35">
                  <c:v>5.437739200608561</c:v>
                </c:pt>
                <c:pt idx="36">
                  <c:v>6.039998445323427</c:v>
                </c:pt>
                <c:pt idx="37">
                  <c:v>6.643359319519124</c:v>
                </c:pt>
                <c:pt idx="38">
                  <c:v>7.247951930110592</c:v>
                </c:pt>
                <c:pt idx="39">
                  <c:v>7.853910308996564</c:v>
                </c:pt>
                <c:pt idx="40">
                  <c:v>8.461372901302681</c:v>
                </c:pt>
                <c:pt idx="41">
                  <c:v>9.070483091454957</c:v>
                </c:pt>
                <c:pt idx="42">
                  <c:v>9.681389772706282</c:v>
                </c:pt>
                <c:pt idx="43">
                  <c:v>10.294247966518874</c:v>
                </c:pt>
                <c:pt idx="44">
                  <c:v>10.909219499132785</c:v>
                </c:pt>
                <c:pt idx="45">
                  <c:v>11.526473743756064</c:v>
                </c:pt>
                <c:pt idx="46">
                  <c:v>12.146188438131187</c:v>
                </c:pt>
                <c:pt idx="47">
                  <c:v>12.76855058881221</c:v>
                </c:pt>
                <c:pt idx="48">
                  <c:v>13.393757475387147</c:v>
                </c:pt>
                <c:pt idx="49">
                  <c:v>14.022017770169413</c:v>
                </c:pt>
                <c:pt idx="50">
                  <c:v>14.653552791658857</c:v>
                </c:pt>
                <c:pt idx="51">
                  <c:v>15.288597913449934</c:v>
                </c:pt>
                <c:pt idx="52">
                  <c:v>15.927404154395887</c:v>
                </c:pt>
              </c:numCache>
            </c:numRef>
          </c:yVal>
          <c:smooth val="1"/>
        </c:ser>
        <c:ser>
          <c:idx val="4"/>
          <c:order val="1"/>
          <c:tx>
            <c:v>Sollgerade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Berechnung!$F$6:$BF$6</c:f>
              <c:numCache>
                <c:ptCount val="53"/>
                <c:pt idx="0">
                  <c:v>-12</c:v>
                </c:pt>
                <c:pt idx="1">
                  <c:v>-11.538461538461538</c:v>
                </c:pt>
                <c:pt idx="2">
                  <c:v>-11.076923076923077</c:v>
                </c:pt>
                <c:pt idx="3">
                  <c:v>-10.615384615384615</c:v>
                </c:pt>
                <c:pt idx="4">
                  <c:v>-10.153846153846153</c:v>
                </c:pt>
                <c:pt idx="5">
                  <c:v>-9.692307692307692</c:v>
                </c:pt>
                <c:pt idx="6">
                  <c:v>-9.23076923076923</c:v>
                </c:pt>
                <c:pt idx="7">
                  <c:v>-8.769230769230768</c:v>
                </c:pt>
                <c:pt idx="8">
                  <c:v>-8.307692307692307</c:v>
                </c:pt>
                <c:pt idx="9">
                  <c:v>-7.846153846153845</c:v>
                </c:pt>
                <c:pt idx="10">
                  <c:v>-7.384615384615383</c:v>
                </c:pt>
                <c:pt idx="11">
                  <c:v>-6.923076923076922</c:v>
                </c:pt>
                <c:pt idx="12">
                  <c:v>-6.46153846153846</c:v>
                </c:pt>
                <c:pt idx="13">
                  <c:v>-5.999999999999998</c:v>
                </c:pt>
                <c:pt idx="14">
                  <c:v>-5.5384615384615365</c:v>
                </c:pt>
                <c:pt idx="15">
                  <c:v>-5.076923076923075</c:v>
                </c:pt>
                <c:pt idx="16">
                  <c:v>-4.615384615384613</c:v>
                </c:pt>
                <c:pt idx="17">
                  <c:v>-4.1538461538461515</c:v>
                </c:pt>
                <c:pt idx="18">
                  <c:v>-3.69230769230769</c:v>
                </c:pt>
                <c:pt idx="19">
                  <c:v>-3.230769230769228</c:v>
                </c:pt>
                <c:pt idx="20">
                  <c:v>-2.7692307692307665</c:v>
                </c:pt>
                <c:pt idx="21">
                  <c:v>-2.307692307692305</c:v>
                </c:pt>
                <c:pt idx="22">
                  <c:v>-1.8461538461538431</c:v>
                </c:pt>
                <c:pt idx="23">
                  <c:v>-1.3846153846153815</c:v>
                </c:pt>
                <c:pt idx="24">
                  <c:v>-0.9230769230769199</c:v>
                </c:pt>
                <c:pt idx="25">
                  <c:v>-0.46153846153845834</c:v>
                </c:pt>
                <c:pt idx="26">
                  <c:v>3.219646771412954E-15</c:v>
                </c:pt>
                <c:pt idx="27">
                  <c:v>0.4615384615384648</c:v>
                </c:pt>
                <c:pt idx="28">
                  <c:v>0.9230769230769263</c:v>
                </c:pt>
                <c:pt idx="29">
                  <c:v>1.384615384615388</c:v>
                </c:pt>
                <c:pt idx="30">
                  <c:v>1.8461538461538494</c:v>
                </c:pt>
                <c:pt idx="31">
                  <c:v>2.307692307692311</c:v>
                </c:pt>
                <c:pt idx="32">
                  <c:v>2.7692307692307727</c:v>
                </c:pt>
                <c:pt idx="33">
                  <c:v>3.2307692307692344</c:v>
                </c:pt>
                <c:pt idx="34">
                  <c:v>3.692307692307696</c:v>
                </c:pt>
                <c:pt idx="35">
                  <c:v>4.153846153846158</c:v>
                </c:pt>
                <c:pt idx="36">
                  <c:v>4.615384615384619</c:v>
                </c:pt>
                <c:pt idx="37">
                  <c:v>5.076923076923081</c:v>
                </c:pt>
                <c:pt idx="38">
                  <c:v>5.538461538461543</c:v>
                </c:pt>
                <c:pt idx="39">
                  <c:v>6.000000000000004</c:v>
                </c:pt>
                <c:pt idx="40">
                  <c:v>6.461538461538466</c:v>
                </c:pt>
                <c:pt idx="41">
                  <c:v>6.923076923076928</c:v>
                </c:pt>
                <c:pt idx="42">
                  <c:v>7.3846153846153895</c:v>
                </c:pt>
                <c:pt idx="43">
                  <c:v>7.846153846153851</c:v>
                </c:pt>
                <c:pt idx="44">
                  <c:v>8.307692307692312</c:v>
                </c:pt>
                <c:pt idx="45">
                  <c:v>8.769230769230774</c:v>
                </c:pt>
                <c:pt idx="46">
                  <c:v>9.230769230769235</c:v>
                </c:pt>
                <c:pt idx="47">
                  <c:v>9.692307692307697</c:v>
                </c:pt>
                <c:pt idx="48">
                  <c:v>10.153846153846159</c:v>
                </c:pt>
                <c:pt idx="49">
                  <c:v>10.61538461538462</c:v>
                </c:pt>
                <c:pt idx="50">
                  <c:v>11.076923076923082</c:v>
                </c:pt>
                <c:pt idx="51">
                  <c:v>11.538461538461544</c:v>
                </c:pt>
                <c:pt idx="52">
                  <c:v>12</c:v>
                </c:pt>
              </c:numCache>
            </c:numRef>
          </c:xVal>
          <c:yVal>
            <c:numRef>
              <c:f>Berechnung!$F$44:$BF$44</c:f>
              <c:numCache>
                <c:ptCount val="53"/>
                <c:pt idx="0">
                  <c:v>-15.785011237882618</c:v>
                </c:pt>
                <c:pt idx="1">
                  <c:v>-15.176426862524119</c:v>
                </c:pt>
                <c:pt idx="2">
                  <c:v>-14.56784248716562</c:v>
                </c:pt>
                <c:pt idx="3">
                  <c:v>-13.95925811180712</c:v>
                </c:pt>
                <c:pt idx="4">
                  <c:v>-13.350673736448622</c:v>
                </c:pt>
                <c:pt idx="5">
                  <c:v>-12.742089361090123</c:v>
                </c:pt>
                <c:pt idx="6">
                  <c:v>-12.133504985731623</c:v>
                </c:pt>
                <c:pt idx="7">
                  <c:v>-11.524920610373124</c:v>
                </c:pt>
                <c:pt idx="8">
                  <c:v>-10.916336235014626</c:v>
                </c:pt>
                <c:pt idx="9">
                  <c:v>-10.307751859656126</c:v>
                </c:pt>
                <c:pt idx="10">
                  <c:v>-9.699167484297627</c:v>
                </c:pt>
                <c:pt idx="11">
                  <c:v>-9.090583108939128</c:v>
                </c:pt>
                <c:pt idx="12">
                  <c:v>-8.481998733580628</c:v>
                </c:pt>
                <c:pt idx="13">
                  <c:v>-7.87341435822213</c:v>
                </c:pt>
                <c:pt idx="14">
                  <c:v>-7.26482998286363</c:v>
                </c:pt>
                <c:pt idx="15">
                  <c:v>-6.656245607505131</c:v>
                </c:pt>
                <c:pt idx="16">
                  <c:v>-6.047661232146632</c:v>
                </c:pt>
                <c:pt idx="17">
                  <c:v>-5.439076856788133</c:v>
                </c:pt>
                <c:pt idx="18">
                  <c:v>-4.8304924814296335</c:v>
                </c:pt>
                <c:pt idx="19">
                  <c:v>-4.221908106071135</c:v>
                </c:pt>
                <c:pt idx="20">
                  <c:v>-3.6133237307126356</c:v>
                </c:pt>
                <c:pt idx="21">
                  <c:v>-3.004739355354136</c:v>
                </c:pt>
                <c:pt idx="22">
                  <c:v>-2.396154979995637</c:v>
                </c:pt>
                <c:pt idx="23">
                  <c:v>-1.7875706046371382</c:v>
                </c:pt>
                <c:pt idx="24">
                  <c:v>-1.1789862292786393</c:v>
                </c:pt>
                <c:pt idx="25">
                  <c:v>-0.5704018539201402</c:v>
                </c:pt>
                <c:pt idx="26">
                  <c:v>0.03818252143835874</c:v>
                </c:pt>
                <c:pt idx="27">
                  <c:v>0.6467668967968578</c:v>
                </c:pt>
                <c:pt idx="28">
                  <c:v>1.2553512721553566</c:v>
                </c:pt>
                <c:pt idx="29">
                  <c:v>1.8639356475138558</c:v>
                </c:pt>
                <c:pt idx="30">
                  <c:v>2.472520022872355</c:v>
                </c:pt>
                <c:pt idx="31">
                  <c:v>3.081104398230854</c:v>
                </c:pt>
                <c:pt idx="32">
                  <c:v>3.689688773589353</c:v>
                </c:pt>
                <c:pt idx="33">
                  <c:v>4.298273148947852</c:v>
                </c:pt>
                <c:pt idx="34">
                  <c:v>4.906857524306352</c:v>
                </c:pt>
                <c:pt idx="35">
                  <c:v>5.51544189966485</c:v>
                </c:pt>
                <c:pt idx="36">
                  <c:v>6.12402627502335</c:v>
                </c:pt>
                <c:pt idx="37">
                  <c:v>6.732610650381849</c:v>
                </c:pt>
                <c:pt idx="38">
                  <c:v>7.3411950257403475</c:v>
                </c:pt>
                <c:pt idx="39">
                  <c:v>7.949779401098847</c:v>
                </c:pt>
                <c:pt idx="40">
                  <c:v>8.558363776457346</c:v>
                </c:pt>
                <c:pt idx="41">
                  <c:v>9.166948151815845</c:v>
                </c:pt>
                <c:pt idx="42">
                  <c:v>9.775532527174345</c:v>
                </c:pt>
                <c:pt idx="43">
                  <c:v>10.384116902532844</c:v>
                </c:pt>
                <c:pt idx="44">
                  <c:v>10.992701277891342</c:v>
                </c:pt>
                <c:pt idx="45">
                  <c:v>11.60128565324984</c:v>
                </c:pt>
                <c:pt idx="46">
                  <c:v>12.20987002860834</c:v>
                </c:pt>
                <c:pt idx="47">
                  <c:v>12.81845440396684</c:v>
                </c:pt>
                <c:pt idx="48">
                  <c:v>13.427038779325338</c:v>
                </c:pt>
                <c:pt idx="49">
                  <c:v>14.035623154683837</c:v>
                </c:pt>
                <c:pt idx="50">
                  <c:v>14.644207530042337</c:v>
                </c:pt>
                <c:pt idx="51">
                  <c:v>15.252791905400835</c:v>
                </c:pt>
                <c:pt idx="52">
                  <c:v>15.861376280759327</c:v>
                </c:pt>
              </c:numCache>
            </c:numRef>
          </c:yVal>
          <c:smooth val="1"/>
        </c:ser>
        <c:axId val="5918900"/>
        <c:axId val="53270101"/>
      </c:scatterChart>
      <c:val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Eintrittswinkel °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70101"/>
        <c:crosses val="autoZero"/>
        <c:crossBetween val="midCat"/>
        <c:dispUnits/>
      </c:val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Austrittswinkel °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18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022"/>
          <c:w val="0.27925"/>
          <c:h val="0.10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Restlicher Farbfehler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475"/>
          <c:w val="0.9025"/>
          <c:h val="0.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Berechnung!$E$55</c:f>
              <c:strCache>
                <c:ptCount val="1"/>
                <c:pt idx="0">
                  <c:v>Abweichung D - C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Berechnung!$F$6:$BF$6</c:f>
              <c:numCache>
                <c:ptCount val="53"/>
                <c:pt idx="0">
                  <c:v>-12</c:v>
                </c:pt>
                <c:pt idx="1">
                  <c:v>-11.538461538461538</c:v>
                </c:pt>
                <c:pt idx="2">
                  <c:v>-11.076923076923077</c:v>
                </c:pt>
                <c:pt idx="3">
                  <c:v>-10.615384615384615</c:v>
                </c:pt>
                <c:pt idx="4">
                  <c:v>-10.153846153846153</c:v>
                </c:pt>
                <c:pt idx="5">
                  <c:v>-9.692307692307692</c:v>
                </c:pt>
                <c:pt idx="6">
                  <c:v>-9.23076923076923</c:v>
                </c:pt>
                <c:pt idx="7">
                  <c:v>-8.769230769230768</c:v>
                </c:pt>
                <c:pt idx="8">
                  <c:v>-8.307692307692307</c:v>
                </c:pt>
                <c:pt idx="9">
                  <c:v>-7.846153846153845</c:v>
                </c:pt>
                <c:pt idx="10">
                  <c:v>-7.384615384615383</c:v>
                </c:pt>
                <c:pt idx="11">
                  <c:v>-6.923076923076922</c:v>
                </c:pt>
                <c:pt idx="12">
                  <c:v>-6.46153846153846</c:v>
                </c:pt>
                <c:pt idx="13">
                  <c:v>-5.999999999999998</c:v>
                </c:pt>
                <c:pt idx="14">
                  <c:v>-5.5384615384615365</c:v>
                </c:pt>
                <c:pt idx="15">
                  <c:v>-5.076923076923075</c:v>
                </c:pt>
                <c:pt idx="16">
                  <c:v>-4.615384615384613</c:v>
                </c:pt>
                <c:pt idx="17">
                  <c:v>-4.1538461538461515</c:v>
                </c:pt>
                <c:pt idx="18">
                  <c:v>-3.69230769230769</c:v>
                </c:pt>
                <c:pt idx="19">
                  <c:v>-3.230769230769228</c:v>
                </c:pt>
                <c:pt idx="20">
                  <c:v>-2.7692307692307665</c:v>
                </c:pt>
                <c:pt idx="21">
                  <c:v>-2.307692307692305</c:v>
                </c:pt>
                <c:pt idx="22">
                  <c:v>-1.8461538461538431</c:v>
                </c:pt>
                <c:pt idx="23">
                  <c:v>-1.3846153846153815</c:v>
                </c:pt>
                <c:pt idx="24">
                  <c:v>-0.9230769230769199</c:v>
                </c:pt>
                <c:pt idx="25">
                  <c:v>-0.46153846153845834</c:v>
                </c:pt>
                <c:pt idx="26">
                  <c:v>3.219646771412954E-15</c:v>
                </c:pt>
                <c:pt idx="27">
                  <c:v>0.4615384615384648</c:v>
                </c:pt>
                <c:pt idx="28">
                  <c:v>0.9230769230769263</c:v>
                </c:pt>
                <c:pt idx="29">
                  <c:v>1.384615384615388</c:v>
                </c:pt>
                <c:pt idx="30">
                  <c:v>1.8461538461538494</c:v>
                </c:pt>
                <c:pt idx="31">
                  <c:v>2.307692307692311</c:v>
                </c:pt>
                <c:pt idx="32">
                  <c:v>2.7692307692307727</c:v>
                </c:pt>
                <c:pt idx="33">
                  <c:v>3.2307692307692344</c:v>
                </c:pt>
                <c:pt idx="34">
                  <c:v>3.692307692307696</c:v>
                </c:pt>
                <c:pt idx="35">
                  <c:v>4.153846153846158</c:v>
                </c:pt>
                <c:pt idx="36">
                  <c:v>4.615384615384619</c:v>
                </c:pt>
                <c:pt idx="37">
                  <c:v>5.076923076923081</c:v>
                </c:pt>
                <c:pt idx="38">
                  <c:v>5.538461538461543</c:v>
                </c:pt>
                <c:pt idx="39">
                  <c:v>6.000000000000004</c:v>
                </c:pt>
                <c:pt idx="40">
                  <c:v>6.461538461538466</c:v>
                </c:pt>
                <c:pt idx="41">
                  <c:v>6.923076923076928</c:v>
                </c:pt>
                <c:pt idx="42">
                  <c:v>7.3846153846153895</c:v>
                </c:pt>
                <c:pt idx="43">
                  <c:v>7.846153846153851</c:v>
                </c:pt>
                <c:pt idx="44">
                  <c:v>8.307692307692312</c:v>
                </c:pt>
                <c:pt idx="45">
                  <c:v>8.769230769230774</c:v>
                </c:pt>
                <c:pt idx="46">
                  <c:v>9.230769230769235</c:v>
                </c:pt>
                <c:pt idx="47">
                  <c:v>9.692307692307697</c:v>
                </c:pt>
                <c:pt idx="48">
                  <c:v>10.153846153846159</c:v>
                </c:pt>
                <c:pt idx="49">
                  <c:v>10.61538461538462</c:v>
                </c:pt>
                <c:pt idx="50">
                  <c:v>11.076923076923082</c:v>
                </c:pt>
                <c:pt idx="51">
                  <c:v>11.538461538461544</c:v>
                </c:pt>
                <c:pt idx="52">
                  <c:v>12</c:v>
                </c:pt>
              </c:numCache>
            </c:numRef>
          </c:xVal>
          <c:yVal>
            <c:numRef>
              <c:f>Berechnung!$F$55:$BF$55</c:f>
              <c:numCache>
                <c:ptCount val="53"/>
                <c:pt idx="0">
                  <c:v>-0.22751125992211507</c:v>
                </c:pt>
                <c:pt idx="1">
                  <c:v>-0.21623437287549482</c:v>
                </c:pt>
                <c:pt idx="2">
                  <c:v>-0.20508263187808132</c:v>
                </c:pt>
                <c:pt idx="3">
                  <c:v>-0.19403658521034425</c:v>
                </c:pt>
                <c:pt idx="4">
                  <c:v>-0.18307805779881262</c:v>
                </c:pt>
                <c:pt idx="5">
                  <c:v>-0.17218998480115674</c:v>
                </c:pt>
                <c:pt idx="6">
                  <c:v>-0.1613562657932572</c:v>
                </c:pt>
                <c:pt idx="7">
                  <c:v>-0.15056163621263433</c:v>
                </c:pt>
                <c:pt idx="8">
                  <c:v>-0.13979155334632087</c:v>
                </c:pt>
                <c:pt idx="9">
                  <c:v>-0.12903209461481963</c:v>
                </c:pt>
                <c:pt idx="10">
                  <c:v>-0.1182698661915607</c:v>
                </c:pt>
                <c:pt idx="11">
                  <c:v>-0.10749192032020419</c:v>
                </c:pt>
                <c:pt idx="12">
                  <c:v>-0.0966856800519565</c:v>
                </c:pt>
                <c:pt idx="13">
                  <c:v>-0.08583887010119719</c:v>
                </c:pt>
                <c:pt idx="14">
                  <c:v>-0.07493945283934053</c:v>
                </c:pt>
                <c:pt idx="15">
                  <c:v>-0.06397556859226197</c:v>
                </c:pt>
                <c:pt idx="16">
                  <c:v>-0.05293547936451647</c:v>
                </c:pt>
                <c:pt idx="17">
                  <c:v>-0.04180751534188445</c:v>
                </c:pt>
                <c:pt idx="18">
                  <c:v>-0.030580023533980736</c:v>
                </c:pt>
                <c:pt idx="19">
                  <c:v>-0.01924131800362682</c:v>
                </c:pt>
                <c:pt idx="20">
                  <c:v>-0.007779631064796319</c:v>
                </c:pt>
                <c:pt idx="21">
                  <c:v>0.003816934911124275</c:v>
                </c:pt>
                <c:pt idx="22">
                  <c:v>0.01556045569113652</c:v>
                </c:pt>
                <c:pt idx="23">
                  <c:v>0.027463233797781015</c:v>
                </c:pt>
                <c:pt idx="24">
                  <c:v>0.03953784798678426</c:v>
                </c:pt>
                <c:pt idx="25">
                  <c:v>0.05179720410041387</c:v>
                </c:pt>
                <c:pt idx="26">
                  <c:v>0.06425458774100516</c:v>
                </c:pt>
                <c:pt idx="27">
                  <c:v>0.07692371930634814</c:v>
                </c:pt>
                <c:pt idx="28">
                  <c:v>0.08981881187328357</c:v>
                </c:pt>
                <c:pt idx="29">
                  <c:v>0.1029546325435741</c:v>
                </c:pt>
                <c:pt idx="30">
                  <c:v>0.11634656784495769</c:v>
                </c:pt>
                <c:pt idx="31">
                  <c:v>0.13001069387393455</c:v>
                </c:pt>
                <c:pt idx="32">
                  <c:v>0.14396385194572836</c:v>
                </c:pt>
                <c:pt idx="33">
                  <c:v>0.15822373059357853</c:v>
                </c:pt>
                <c:pt idx="34">
                  <c:v>0.17280895482093875</c:v>
                </c:pt>
                <c:pt idx="35">
                  <c:v>0.1877391837650504</c:v>
                </c:pt>
                <c:pt idx="36">
                  <c:v>0.2030352178845669</c:v>
                </c:pt>
                <c:pt idx="37">
                  <c:v>0.2187191171758497</c:v>
                </c:pt>
                <c:pt idx="38">
                  <c:v>0.23481433194013365</c:v>
                </c:pt>
                <c:pt idx="39">
                  <c:v>0.2513458479809817</c:v>
                </c:pt>
                <c:pt idx="40">
                  <c:v>0.26834034840724813</c:v>
                </c:pt>
                <c:pt idx="41">
                  <c:v>0.28582639451517944</c:v>
                </c:pt>
                <c:pt idx="42">
                  <c:v>0.30383462868380134</c:v>
                </c:pt>
                <c:pt idx="43">
                  <c:v>0.32239800274163594</c:v>
                </c:pt>
                <c:pt idx="44">
                  <c:v>0.3415520358322605</c:v>
                </c:pt>
                <c:pt idx="45">
                  <c:v>0.36133510661137486</c:v>
                </c:pt>
                <c:pt idx="46">
                  <c:v>0.3817887854681047</c:v>
                </c:pt>
                <c:pt idx="47">
                  <c:v>0.40295821358441053</c:v>
                </c:pt>
                <c:pt idx="48">
                  <c:v>0.42489253705039326</c:v>
                </c:pt>
                <c:pt idx="49">
                  <c:v>0.447645405859688</c:v>
                </c:pt>
                <c:pt idx="50">
                  <c:v>0.47127554977025665</c:v>
                </c:pt>
                <c:pt idx="51">
                  <c:v>0.4958474455622173</c:v>
                </c:pt>
                <c:pt idx="52">
                  <c:v>0.5214320935530439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Berechnung!$E$56</c:f>
              <c:strCache>
                <c:ptCount val="1"/>
                <c:pt idx="0">
                  <c:v>Abweichung D - F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Berechnung!$F$6:$BF$6</c:f>
              <c:numCache>
                <c:ptCount val="53"/>
                <c:pt idx="0">
                  <c:v>-12</c:v>
                </c:pt>
                <c:pt idx="1">
                  <c:v>-11.538461538461538</c:v>
                </c:pt>
                <c:pt idx="2">
                  <c:v>-11.076923076923077</c:v>
                </c:pt>
                <c:pt idx="3">
                  <c:v>-10.615384615384615</c:v>
                </c:pt>
                <c:pt idx="4">
                  <c:v>-10.153846153846153</c:v>
                </c:pt>
                <c:pt idx="5">
                  <c:v>-9.692307692307692</c:v>
                </c:pt>
                <c:pt idx="6">
                  <c:v>-9.23076923076923</c:v>
                </c:pt>
                <c:pt idx="7">
                  <c:v>-8.769230769230768</c:v>
                </c:pt>
                <c:pt idx="8">
                  <c:v>-8.307692307692307</c:v>
                </c:pt>
                <c:pt idx="9">
                  <c:v>-7.846153846153845</c:v>
                </c:pt>
                <c:pt idx="10">
                  <c:v>-7.384615384615383</c:v>
                </c:pt>
                <c:pt idx="11">
                  <c:v>-6.923076923076922</c:v>
                </c:pt>
                <c:pt idx="12">
                  <c:v>-6.46153846153846</c:v>
                </c:pt>
                <c:pt idx="13">
                  <c:v>-5.999999999999998</c:v>
                </c:pt>
                <c:pt idx="14">
                  <c:v>-5.5384615384615365</c:v>
                </c:pt>
                <c:pt idx="15">
                  <c:v>-5.076923076923075</c:v>
                </c:pt>
                <c:pt idx="16">
                  <c:v>-4.615384615384613</c:v>
                </c:pt>
                <c:pt idx="17">
                  <c:v>-4.1538461538461515</c:v>
                </c:pt>
                <c:pt idx="18">
                  <c:v>-3.69230769230769</c:v>
                </c:pt>
                <c:pt idx="19">
                  <c:v>-3.230769230769228</c:v>
                </c:pt>
                <c:pt idx="20">
                  <c:v>-2.7692307692307665</c:v>
                </c:pt>
                <c:pt idx="21">
                  <c:v>-2.307692307692305</c:v>
                </c:pt>
                <c:pt idx="22">
                  <c:v>-1.8461538461538431</c:v>
                </c:pt>
                <c:pt idx="23">
                  <c:v>-1.3846153846153815</c:v>
                </c:pt>
                <c:pt idx="24">
                  <c:v>-0.9230769230769199</c:v>
                </c:pt>
                <c:pt idx="25">
                  <c:v>-0.46153846153845834</c:v>
                </c:pt>
                <c:pt idx="26">
                  <c:v>3.219646771412954E-15</c:v>
                </c:pt>
                <c:pt idx="27">
                  <c:v>0.4615384615384648</c:v>
                </c:pt>
                <c:pt idx="28">
                  <c:v>0.9230769230769263</c:v>
                </c:pt>
                <c:pt idx="29">
                  <c:v>1.384615384615388</c:v>
                </c:pt>
                <c:pt idx="30">
                  <c:v>1.8461538461538494</c:v>
                </c:pt>
                <c:pt idx="31">
                  <c:v>2.307692307692311</c:v>
                </c:pt>
                <c:pt idx="32">
                  <c:v>2.7692307692307727</c:v>
                </c:pt>
                <c:pt idx="33">
                  <c:v>3.2307692307692344</c:v>
                </c:pt>
                <c:pt idx="34">
                  <c:v>3.692307692307696</c:v>
                </c:pt>
                <c:pt idx="35">
                  <c:v>4.153846153846158</c:v>
                </c:pt>
                <c:pt idx="36">
                  <c:v>4.615384615384619</c:v>
                </c:pt>
                <c:pt idx="37">
                  <c:v>5.076923076923081</c:v>
                </c:pt>
                <c:pt idx="38">
                  <c:v>5.538461538461543</c:v>
                </c:pt>
                <c:pt idx="39">
                  <c:v>6.000000000000004</c:v>
                </c:pt>
                <c:pt idx="40">
                  <c:v>6.461538461538466</c:v>
                </c:pt>
                <c:pt idx="41">
                  <c:v>6.923076923076928</c:v>
                </c:pt>
                <c:pt idx="42">
                  <c:v>7.3846153846153895</c:v>
                </c:pt>
                <c:pt idx="43">
                  <c:v>7.846153846153851</c:v>
                </c:pt>
                <c:pt idx="44">
                  <c:v>8.307692307692312</c:v>
                </c:pt>
                <c:pt idx="45">
                  <c:v>8.769230769230774</c:v>
                </c:pt>
                <c:pt idx="46">
                  <c:v>9.230769230769235</c:v>
                </c:pt>
                <c:pt idx="47">
                  <c:v>9.692307692307697</c:v>
                </c:pt>
                <c:pt idx="48">
                  <c:v>10.153846153846159</c:v>
                </c:pt>
                <c:pt idx="49">
                  <c:v>10.61538461538462</c:v>
                </c:pt>
                <c:pt idx="50">
                  <c:v>11.076923076923082</c:v>
                </c:pt>
                <c:pt idx="51">
                  <c:v>11.538461538461544</c:v>
                </c:pt>
                <c:pt idx="52">
                  <c:v>12</c:v>
                </c:pt>
              </c:numCache>
            </c:numRef>
          </c:xVal>
          <c:yVal>
            <c:numRef>
              <c:f>Berechnung!$F$56:$BF$56</c:f>
              <c:numCache>
                <c:ptCount val="53"/>
                <c:pt idx="0">
                  <c:v>0.03762788332069106</c:v>
                </c:pt>
                <c:pt idx="1">
                  <c:v>0.05577969003999848</c:v>
                </c:pt>
                <c:pt idx="2">
                  <c:v>0.0731646547434732</c:v>
                </c:pt>
                <c:pt idx="3">
                  <c:v>0.08982058173932331</c:v>
                </c:pt>
                <c:pt idx="4">
                  <c:v>0.105782013324013</c:v>
                </c:pt>
                <c:pt idx="5">
                  <c:v>0.12108057183383678</c:v>
                </c:pt>
                <c:pt idx="6">
                  <c:v>0.13574525644374053</c:v>
                </c:pt>
                <c:pt idx="7">
                  <c:v>0.14980270162687226</c:v>
                </c:pt>
                <c:pt idx="8">
                  <c:v>0.16327740288967924</c:v>
                </c:pt>
                <c:pt idx="9">
                  <c:v>0.17619191445679167</c:v>
                </c:pt>
                <c:pt idx="10">
                  <c:v>0.1885670228693997</c:v>
                </c:pt>
                <c:pt idx="11">
                  <c:v>0.20042189980542097</c:v>
                </c:pt>
                <c:pt idx="12">
                  <c:v>0.21177423679474738</c:v>
                </c:pt>
                <c:pt idx="13">
                  <c:v>0.22264036429972636</c:v>
                </c:pt>
                <c:pt idx="14">
                  <c:v>0.23303535702032824</c:v>
                </c:pt>
                <c:pt idx="15">
                  <c:v>0.24297312719490777</c:v>
                </c:pt>
                <c:pt idx="16">
                  <c:v>0.25246650726695047</c:v>
                </c:pt>
                <c:pt idx="17">
                  <c:v>0.2615273231705686</c:v>
                </c:pt>
                <c:pt idx="18">
                  <c:v>0.27016645928937055</c:v>
                </c:pt>
                <c:pt idx="19">
                  <c:v>0.27839391591772983</c:v>
                </c:pt>
                <c:pt idx="20">
                  <c:v>0.2862188600977554</c:v>
                </c:pt>
                <c:pt idx="21">
                  <c:v>0.29364967035726586</c:v>
                </c:pt>
                <c:pt idx="22">
                  <c:v>0.30069397597878683</c:v>
                </c:pt>
                <c:pt idx="23">
                  <c:v>0.3073586912848328</c:v>
                </c:pt>
                <c:pt idx="24">
                  <c:v>0.3136500452698923</c:v>
                </c:pt>
                <c:pt idx="25">
                  <c:v>0.3195736069478384</c:v>
                </c:pt>
                <c:pt idx="26">
                  <c:v>0.3251343066987371</c:v>
                </c:pt>
                <c:pt idx="27">
                  <c:v>0.33033645381211396</c:v>
                </c:pt>
                <c:pt idx="28">
                  <c:v>0.3351837503880311</c:v>
                </c:pt>
                <c:pt idx="29">
                  <c:v>0.33967930173075017</c:v>
                </c:pt>
                <c:pt idx="30">
                  <c:v>0.3438256233101765</c:v>
                </c:pt>
                <c:pt idx="31">
                  <c:v>0.3476246443102924</c:v>
                </c:pt>
                <c:pt idx="32">
                  <c:v>0.3510777077392966</c:v>
                </c:pt>
                <c:pt idx="33">
                  <c:v>0.35418556710253385</c:v>
                </c:pt>
                <c:pt idx="34">
                  <c:v>0.35694837943063373</c:v>
                </c:pt>
                <c:pt idx="35">
                  <c:v>0.3593656946017652</c:v>
                </c:pt>
                <c:pt idx="36">
                  <c:v>0.36143644066632935</c:v>
                </c:pt>
                <c:pt idx="37">
                  <c:v>0.3631589049637944</c:v>
                </c:pt>
                <c:pt idx="38">
                  <c:v>0.3645307106327846</c:v>
                </c:pt>
                <c:pt idx="39">
                  <c:v>0.3655487881096764</c:v>
                </c:pt>
                <c:pt idx="40">
                  <c:v>0.36620934110916925</c:v>
                </c:pt>
                <c:pt idx="41">
                  <c:v>0.3665078064461794</c:v>
                </c:pt>
                <c:pt idx="42">
                  <c:v>0.3664388069566224</c:v>
                </c:pt>
                <c:pt idx="43">
                  <c:v>0.3659960966262032</c:v>
                </c:pt>
                <c:pt idx="44">
                  <c:v>0.36517249683819536</c:v>
                </c:pt>
                <c:pt idx="45">
                  <c:v>0.36395982245629915</c:v>
                </c:pt>
                <c:pt idx="46">
                  <c:v>0.36234879621625815</c:v>
                </c:pt>
                <c:pt idx="47">
                  <c:v>0.3603289495155633</c:v>
                </c:pt>
                <c:pt idx="48">
                  <c:v>0.35788850742385453</c:v>
                </c:pt>
                <c:pt idx="49">
                  <c:v>0.35501425511333734</c:v>
                </c:pt>
                <c:pt idx="50">
                  <c:v>0.35169138248403864</c:v>
                </c:pt>
                <c:pt idx="51">
                  <c:v>0.34790330287044796</c:v>
                </c:pt>
                <c:pt idx="52">
                  <c:v>0.34363144094631093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Berechnung!$E$57</c:f>
              <c:strCache>
                <c:ptCount val="1"/>
                <c:pt idx="0">
                  <c:v>Abweichung C -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Berechnung!$F$6:$BF$6</c:f>
              <c:numCache>
                <c:ptCount val="53"/>
                <c:pt idx="0">
                  <c:v>-12</c:v>
                </c:pt>
                <c:pt idx="1">
                  <c:v>-11.538461538461538</c:v>
                </c:pt>
                <c:pt idx="2">
                  <c:v>-11.076923076923077</c:v>
                </c:pt>
                <c:pt idx="3">
                  <c:v>-10.615384615384615</c:v>
                </c:pt>
                <c:pt idx="4">
                  <c:v>-10.153846153846153</c:v>
                </c:pt>
                <c:pt idx="5">
                  <c:v>-9.692307692307692</c:v>
                </c:pt>
                <c:pt idx="6">
                  <c:v>-9.23076923076923</c:v>
                </c:pt>
                <c:pt idx="7">
                  <c:v>-8.769230769230768</c:v>
                </c:pt>
                <c:pt idx="8">
                  <c:v>-8.307692307692307</c:v>
                </c:pt>
                <c:pt idx="9">
                  <c:v>-7.846153846153845</c:v>
                </c:pt>
                <c:pt idx="10">
                  <c:v>-7.384615384615383</c:v>
                </c:pt>
                <c:pt idx="11">
                  <c:v>-6.923076923076922</c:v>
                </c:pt>
                <c:pt idx="12">
                  <c:v>-6.46153846153846</c:v>
                </c:pt>
                <c:pt idx="13">
                  <c:v>-5.999999999999998</c:v>
                </c:pt>
                <c:pt idx="14">
                  <c:v>-5.5384615384615365</c:v>
                </c:pt>
                <c:pt idx="15">
                  <c:v>-5.076923076923075</c:v>
                </c:pt>
                <c:pt idx="16">
                  <c:v>-4.615384615384613</c:v>
                </c:pt>
                <c:pt idx="17">
                  <c:v>-4.1538461538461515</c:v>
                </c:pt>
                <c:pt idx="18">
                  <c:v>-3.69230769230769</c:v>
                </c:pt>
                <c:pt idx="19">
                  <c:v>-3.230769230769228</c:v>
                </c:pt>
                <c:pt idx="20">
                  <c:v>-2.7692307692307665</c:v>
                </c:pt>
                <c:pt idx="21">
                  <c:v>-2.307692307692305</c:v>
                </c:pt>
                <c:pt idx="22">
                  <c:v>-1.8461538461538431</c:v>
                </c:pt>
                <c:pt idx="23">
                  <c:v>-1.3846153846153815</c:v>
                </c:pt>
                <c:pt idx="24">
                  <c:v>-0.9230769230769199</c:v>
                </c:pt>
                <c:pt idx="25">
                  <c:v>-0.46153846153845834</c:v>
                </c:pt>
                <c:pt idx="26">
                  <c:v>3.219646771412954E-15</c:v>
                </c:pt>
                <c:pt idx="27">
                  <c:v>0.4615384615384648</c:v>
                </c:pt>
                <c:pt idx="28">
                  <c:v>0.9230769230769263</c:v>
                </c:pt>
                <c:pt idx="29">
                  <c:v>1.384615384615388</c:v>
                </c:pt>
                <c:pt idx="30">
                  <c:v>1.8461538461538494</c:v>
                </c:pt>
                <c:pt idx="31">
                  <c:v>2.307692307692311</c:v>
                </c:pt>
                <c:pt idx="32">
                  <c:v>2.7692307692307727</c:v>
                </c:pt>
                <c:pt idx="33">
                  <c:v>3.2307692307692344</c:v>
                </c:pt>
                <c:pt idx="34">
                  <c:v>3.692307692307696</c:v>
                </c:pt>
                <c:pt idx="35">
                  <c:v>4.153846153846158</c:v>
                </c:pt>
                <c:pt idx="36">
                  <c:v>4.615384615384619</c:v>
                </c:pt>
                <c:pt idx="37">
                  <c:v>5.076923076923081</c:v>
                </c:pt>
                <c:pt idx="38">
                  <c:v>5.538461538461543</c:v>
                </c:pt>
                <c:pt idx="39">
                  <c:v>6.000000000000004</c:v>
                </c:pt>
                <c:pt idx="40">
                  <c:v>6.461538461538466</c:v>
                </c:pt>
                <c:pt idx="41">
                  <c:v>6.923076923076928</c:v>
                </c:pt>
                <c:pt idx="42">
                  <c:v>7.3846153846153895</c:v>
                </c:pt>
                <c:pt idx="43">
                  <c:v>7.846153846153851</c:v>
                </c:pt>
                <c:pt idx="44">
                  <c:v>8.307692307692312</c:v>
                </c:pt>
                <c:pt idx="45">
                  <c:v>8.769230769230774</c:v>
                </c:pt>
                <c:pt idx="46">
                  <c:v>9.230769230769235</c:v>
                </c:pt>
                <c:pt idx="47">
                  <c:v>9.692307692307697</c:v>
                </c:pt>
                <c:pt idx="48">
                  <c:v>10.153846153846159</c:v>
                </c:pt>
                <c:pt idx="49">
                  <c:v>10.61538461538462</c:v>
                </c:pt>
                <c:pt idx="50">
                  <c:v>11.076923076923082</c:v>
                </c:pt>
                <c:pt idx="51">
                  <c:v>11.538461538461544</c:v>
                </c:pt>
                <c:pt idx="52">
                  <c:v>12</c:v>
                </c:pt>
              </c:numCache>
            </c:numRef>
          </c:xVal>
          <c:yVal>
            <c:numRef>
              <c:f>Berechnung!$F$57:$BF$57</c:f>
              <c:numCache>
                <c:ptCount val="53"/>
                <c:pt idx="0">
                  <c:v>0.26513914324280613</c:v>
                </c:pt>
                <c:pt idx="1">
                  <c:v>0.2720140629154933</c:v>
                </c:pt>
                <c:pt idx="2">
                  <c:v>0.2782472866215545</c:v>
                </c:pt>
                <c:pt idx="3">
                  <c:v>0.28385716694966756</c:v>
                </c:pt>
                <c:pt idx="4">
                  <c:v>0.28886007112282563</c:v>
                </c:pt>
                <c:pt idx="5">
                  <c:v>0.2932705566349935</c:v>
                </c:pt>
                <c:pt idx="6">
                  <c:v>0.2971015222369977</c:v>
                </c:pt>
                <c:pt idx="7">
                  <c:v>0.30036433783950656</c:v>
                </c:pt>
                <c:pt idx="8">
                  <c:v>0.3030689562360001</c:v>
                </c:pt>
                <c:pt idx="9">
                  <c:v>0.3052240090716113</c:v>
                </c:pt>
                <c:pt idx="10">
                  <c:v>0.3068368890609604</c:v>
                </c:pt>
                <c:pt idx="11">
                  <c:v>0.3079138201256252</c:v>
                </c:pt>
                <c:pt idx="12">
                  <c:v>0.3084599168467039</c:v>
                </c:pt>
                <c:pt idx="13">
                  <c:v>0.30847923440092356</c:v>
                </c:pt>
                <c:pt idx="14">
                  <c:v>0.3079748098596688</c:v>
                </c:pt>
                <c:pt idx="15">
                  <c:v>0.30694869578716977</c:v>
                </c:pt>
                <c:pt idx="16">
                  <c:v>0.3054019866314669</c:v>
                </c:pt>
                <c:pt idx="17">
                  <c:v>0.303334838512453</c:v>
                </c:pt>
                <c:pt idx="18">
                  <c:v>0.30074648282335126</c:v>
                </c:pt>
                <c:pt idx="19">
                  <c:v>0.29763523392135666</c:v>
                </c:pt>
                <c:pt idx="20">
                  <c:v>0.29399849116255167</c:v>
                </c:pt>
                <c:pt idx="21">
                  <c:v>0.2898327354461416</c:v>
                </c:pt>
                <c:pt idx="22">
                  <c:v>0.2851335202876503</c:v>
                </c:pt>
                <c:pt idx="23">
                  <c:v>0.27989545748705175</c:v>
                </c:pt>
                <c:pt idx="24">
                  <c:v>0.2741121972831081</c:v>
                </c:pt>
                <c:pt idx="25">
                  <c:v>0.2677764028474245</c:v>
                </c:pt>
                <c:pt idx="26">
                  <c:v>0.260879718957732</c:v>
                </c:pt>
                <c:pt idx="27">
                  <c:v>0.2534127345057658</c:v>
                </c:pt>
                <c:pt idx="28">
                  <c:v>0.2453649385147475</c:v>
                </c:pt>
                <c:pt idx="29">
                  <c:v>0.23672466918717605</c:v>
                </c:pt>
                <c:pt idx="30">
                  <c:v>0.2274790554652188</c:v>
                </c:pt>
                <c:pt idx="31">
                  <c:v>0.21761395043635784</c:v>
                </c:pt>
                <c:pt idx="32">
                  <c:v>0.2071138557935682</c:v>
                </c:pt>
                <c:pt idx="33">
                  <c:v>0.19596183650895532</c:v>
                </c:pt>
                <c:pt idx="34">
                  <c:v>0.18413942460969496</c:v>
                </c:pt>
                <c:pt idx="35">
                  <c:v>0.17162651083671485</c:v>
                </c:pt>
                <c:pt idx="36">
                  <c:v>0.1584012227817625</c:v>
                </c:pt>
                <c:pt idx="37">
                  <c:v>0.1444397877879447</c:v>
                </c:pt>
                <c:pt idx="38">
                  <c:v>0.1297163786926509</c:v>
                </c:pt>
                <c:pt idx="39">
                  <c:v>0.11420294012869474</c:v>
                </c:pt>
                <c:pt idx="40">
                  <c:v>0.09786899270192113</c:v>
                </c:pt>
                <c:pt idx="41">
                  <c:v>0.080681411931</c:v>
                </c:pt>
                <c:pt idx="42">
                  <c:v>0.06260417827282103</c:v>
                </c:pt>
                <c:pt idx="43">
                  <c:v>0.043598093884567264</c:v>
                </c:pt>
                <c:pt idx="44">
                  <c:v>0.023620461005934814</c:v>
                </c:pt>
                <c:pt idx="45">
                  <c:v>0.0026247158449242613</c:v>
                </c:pt>
                <c:pt idx="46">
                  <c:v>-0.019439989251846514</c:v>
                </c:pt>
                <c:pt idx="47">
                  <c:v>-0.042629264068847206</c:v>
                </c:pt>
                <c:pt idx="48">
                  <c:v>-0.06700402962653876</c:v>
                </c:pt>
                <c:pt idx="49">
                  <c:v>-0.09263115074635067</c:v>
                </c:pt>
                <c:pt idx="50">
                  <c:v>-0.11958416728621811</c:v>
                </c:pt>
                <c:pt idx="51">
                  <c:v>-0.1479441426917693</c:v>
                </c:pt>
                <c:pt idx="52">
                  <c:v>-0.1778006526067329</c:v>
                </c:pt>
              </c:numCache>
            </c:numRef>
          </c:yVal>
          <c:smooth val="1"/>
        </c:ser>
        <c:axId val="9668862"/>
        <c:axId val="19910895"/>
      </c:scatterChart>
      <c:valAx>
        <c:axId val="96688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9910895"/>
        <c:crosses val="autoZero"/>
        <c:crossBetween val="midCat"/>
        <c:dispUnits/>
      </c:val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Abweichung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668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"/>
          <c:w val="0.2115"/>
          <c:h val="0.15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74</xdr:row>
      <xdr:rowOff>95250</xdr:rowOff>
    </xdr:from>
    <xdr:ext cx="1038225" cy="257175"/>
    <xdr:sp>
      <xdr:nvSpPr>
        <xdr:cNvPr id="1" name="TextBox 1"/>
        <xdr:cNvSpPr txBox="1">
          <a:spLocks noChangeArrowheads="1"/>
        </xdr:cNvSpPr>
      </xdr:nvSpPr>
      <xdr:spPr>
        <a:xfrm>
          <a:off x="8029575" y="12163425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123825</xdr:colOff>
      <xdr:row>0</xdr:row>
      <xdr:rowOff>0</xdr:rowOff>
    </xdr:from>
    <xdr:to>
      <xdr:col>16</xdr:col>
      <xdr:colOff>219075</xdr:colOff>
      <xdr:row>26</xdr:row>
      <xdr:rowOff>38100</xdr:rowOff>
    </xdr:to>
    <xdr:graphicFrame>
      <xdr:nvGraphicFramePr>
        <xdr:cNvPr id="2" name="Chart 5"/>
        <xdr:cNvGraphicFramePr/>
      </xdr:nvGraphicFramePr>
      <xdr:xfrm>
        <a:off x="5867400" y="0"/>
        <a:ext cx="5715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25</xdr:row>
      <xdr:rowOff>123825</xdr:rowOff>
    </xdr:from>
    <xdr:to>
      <xdr:col>16</xdr:col>
      <xdr:colOff>219075</xdr:colOff>
      <xdr:row>49</xdr:row>
      <xdr:rowOff>123825</xdr:rowOff>
    </xdr:to>
    <xdr:graphicFrame>
      <xdr:nvGraphicFramePr>
        <xdr:cNvPr id="3" name="Chart 6"/>
        <xdr:cNvGraphicFramePr/>
      </xdr:nvGraphicFramePr>
      <xdr:xfrm>
        <a:off x="5867400" y="3905250"/>
        <a:ext cx="57150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88</xdr:row>
      <xdr:rowOff>95250</xdr:rowOff>
    </xdr:from>
    <xdr:ext cx="1028700" cy="257175"/>
    <xdr:sp>
      <xdr:nvSpPr>
        <xdr:cNvPr id="1" name="TextBox 7"/>
        <xdr:cNvSpPr txBox="1">
          <a:spLocks noChangeArrowheads="1"/>
        </xdr:cNvSpPr>
      </xdr:nvSpPr>
      <xdr:spPr>
        <a:xfrm>
          <a:off x="5591175" y="1611630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9</xdr:col>
      <xdr:colOff>381000</xdr:colOff>
      <xdr:row>88</xdr:row>
      <xdr:rowOff>95250</xdr:rowOff>
    </xdr:from>
    <xdr:ext cx="1028700" cy="257175"/>
    <xdr:sp>
      <xdr:nvSpPr>
        <xdr:cNvPr id="2" name="TextBox 18"/>
        <xdr:cNvSpPr txBox="1">
          <a:spLocks noChangeArrowheads="1"/>
        </xdr:cNvSpPr>
      </xdr:nvSpPr>
      <xdr:spPr>
        <a:xfrm>
          <a:off x="5591175" y="1611630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204"/>
  <sheetViews>
    <sheetView showGridLines="0" showRowColHeaders="0" tabSelected="1" workbookViewId="0" topLeftCell="A1">
      <selection activeCell="C22" sqref="C22"/>
    </sheetView>
  </sheetViews>
  <sheetFormatPr defaultColWidth="11.421875" defaultRowHeight="12.75"/>
  <cols>
    <col min="1" max="1" width="2.7109375" style="46" customWidth="1"/>
    <col min="2" max="2" width="29.140625" style="46" customWidth="1"/>
    <col min="3" max="4" width="7.28125" style="46" customWidth="1"/>
    <col min="5" max="5" width="5.28125" style="46" customWidth="1"/>
    <col min="6" max="6" width="25.421875" style="46" customWidth="1"/>
    <col min="7" max="7" width="9.00390625" style="46" customWidth="1"/>
    <col min="8" max="9" width="5.00390625" style="46" customWidth="1"/>
    <col min="10" max="10" width="6.28125" style="46" customWidth="1"/>
    <col min="11" max="11" width="12.421875" style="46" customWidth="1"/>
    <col min="12" max="12" width="8.28125" style="46" customWidth="1"/>
    <col min="13" max="15" width="10.57421875" style="46" customWidth="1"/>
    <col min="16" max="16" width="15.57421875" style="46" customWidth="1"/>
    <col min="17" max="60" width="10.57421875" style="46" customWidth="1"/>
    <col min="61" max="16384" width="11.57421875" style="46" customWidth="1"/>
  </cols>
  <sheetData>
    <row r="1" spans="2:13" ht="21" customHeight="1" thickBot="1">
      <c r="B1" s="119" t="s">
        <v>79</v>
      </c>
      <c r="C1" s="119"/>
      <c r="D1" s="119"/>
      <c r="E1" s="43"/>
      <c r="F1" s="120" t="s">
        <v>80</v>
      </c>
      <c r="G1" s="120"/>
      <c r="H1" s="44"/>
      <c r="I1" s="45"/>
      <c r="J1" s="45"/>
      <c r="K1" s="45"/>
      <c r="L1" s="45"/>
      <c r="M1" s="45"/>
    </row>
    <row r="2" spans="6:13" ht="3.75" customHeight="1" hidden="1">
      <c r="F2" s="80"/>
      <c r="G2" s="83"/>
      <c r="H2" s="44"/>
      <c r="I2" s="45"/>
      <c r="J2" s="45"/>
      <c r="K2" s="45"/>
      <c r="L2" s="45"/>
      <c r="M2" s="45"/>
    </row>
    <row r="3" spans="2:13" ht="12.75" customHeight="1" thickBot="1">
      <c r="B3" s="83" t="s">
        <v>63</v>
      </c>
      <c r="C3" s="107"/>
      <c r="D3" s="107"/>
      <c r="E3" s="48"/>
      <c r="F3" s="80"/>
      <c r="G3" s="84"/>
      <c r="H3" s="44"/>
      <c r="I3" s="45"/>
      <c r="J3" s="45"/>
      <c r="K3" s="45"/>
      <c r="L3" s="45"/>
      <c r="M3" s="45"/>
    </row>
    <row r="4" spans="2:13" ht="12" customHeight="1" thickBot="1">
      <c r="B4" s="80" t="s">
        <v>64</v>
      </c>
      <c r="C4" s="108" t="s">
        <v>61</v>
      </c>
      <c r="D4" s="109"/>
      <c r="E4" s="49"/>
      <c r="F4" s="83" t="s">
        <v>81</v>
      </c>
      <c r="G4" s="96">
        <f>Berechnung!$I$3</f>
        <v>1.3185994799434144</v>
      </c>
      <c r="H4" s="44"/>
      <c r="I4" s="45"/>
      <c r="J4" s="45"/>
      <c r="K4" s="45"/>
      <c r="L4" s="45"/>
      <c r="M4" s="45"/>
    </row>
    <row r="5" spans="2:13" ht="12" customHeight="1" thickBot="1">
      <c r="B5" s="80" t="s">
        <v>65</v>
      </c>
      <c r="C5" s="110"/>
      <c r="D5" s="110"/>
      <c r="E5" s="48"/>
      <c r="F5" s="83" t="s">
        <v>82</v>
      </c>
      <c r="G5" s="97">
        <f>Berechnung!$I$4</f>
        <v>1.313565483962744</v>
      </c>
      <c r="I5" s="45"/>
      <c r="J5" s="45"/>
      <c r="K5" s="45"/>
      <c r="L5" s="45"/>
      <c r="M5" s="45"/>
    </row>
    <row r="6" spans="2:13" ht="12" customHeight="1" thickBot="1">
      <c r="B6" s="80" t="s">
        <v>59</v>
      </c>
      <c r="C6" s="105">
        <v>1.61755</v>
      </c>
      <c r="D6" s="106"/>
      <c r="E6" s="49"/>
      <c r="F6" s="83" t="s">
        <v>84</v>
      </c>
      <c r="G6" s="98">
        <f>Berechnung!$H$2</f>
        <v>0.038182521438354496</v>
      </c>
      <c r="I6" s="45"/>
      <c r="J6" s="45"/>
      <c r="K6" s="45"/>
      <c r="L6" s="45"/>
      <c r="M6" s="45"/>
    </row>
    <row r="7" spans="2:14" ht="12" customHeight="1" thickBot="1">
      <c r="B7" s="80" t="s">
        <v>56</v>
      </c>
      <c r="C7" s="105">
        <v>1.6094</v>
      </c>
      <c r="D7" s="106"/>
      <c r="E7" s="49"/>
      <c r="F7" s="83" t="s">
        <v>83</v>
      </c>
      <c r="G7" s="98">
        <f>Berechnung!$F$4</f>
        <v>0.3107549192655803</v>
      </c>
      <c r="H7" s="50"/>
      <c r="J7" s="51"/>
      <c r="K7" s="50"/>
      <c r="M7" s="51"/>
      <c r="N7" s="50"/>
    </row>
    <row r="8" spans="2:13" ht="12" customHeight="1" thickBot="1">
      <c r="B8" s="80" t="s">
        <v>55</v>
      </c>
      <c r="C8" s="105">
        <v>1.63958</v>
      </c>
      <c r="D8" s="106"/>
      <c r="E8" s="49"/>
      <c r="F8" s="83" t="s">
        <v>140</v>
      </c>
      <c r="G8" s="98">
        <f>Berechnung!$F$1</f>
        <v>0.5214320935530439</v>
      </c>
      <c r="I8" s="45"/>
      <c r="J8" s="45"/>
      <c r="K8" s="45"/>
      <c r="L8" s="45"/>
      <c r="M8" s="45"/>
    </row>
    <row r="9" spans="2:13" ht="12" customHeight="1" thickBot="1">
      <c r="B9" s="80"/>
      <c r="C9" s="47"/>
      <c r="D9" s="47"/>
      <c r="F9" s="83" t="s">
        <v>141</v>
      </c>
      <c r="G9" s="98">
        <f>Berechnung!$G$1</f>
        <v>0.3665078064461794</v>
      </c>
      <c r="I9" s="45"/>
      <c r="J9" s="45"/>
      <c r="K9" s="45"/>
      <c r="L9" s="45"/>
      <c r="M9" s="45"/>
    </row>
    <row r="10" spans="2:7" ht="12" customHeight="1" thickBot="1">
      <c r="B10" s="83" t="s">
        <v>66</v>
      </c>
      <c r="C10" s="110"/>
      <c r="D10" s="110"/>
      <c r="E10" s="48"/>
      <c r="F10" s="83" t="s">
        <v>142</v>
      </c>
      <c r="G10" s="98">
        <f>Berechnung!$F$2</f>
        <v>0.30847923440092356</v>
      </c>
    </row>
    <row r="11" spans="2:7" ht="12" customHeight="1" thickBot="1">
      <c r="B11" s="80" t="s">
        <v>64</v>
      </c>
      <c r="C11" s="105" t="s">
        <v>62</v>
      </c>
      <c r="D11" s="106"/>
      <c r="E11" s="49"/>
      <c r="F11" s="94"/>
      <c r="G11" s="99"/>
    </row>
    <row r="12" spans="2:7" s="45" customFormat="1" ht="12" customHeight="1" thickBot="1">
      <c r="B12" s="80" t="s">
        <v>65</v>
      </c>
      <c r="C12" s="110"/>
      <c r="D12" s="110"/>
      <c r="E12" s="48"/>
      <c r="F12" s="94" t="s">
        <v>143</v>
      </c>
      <c r="G12" s="99"/>
    </row>
    <row r="13" spans="2:7" s="45" customFormat="1" ht="12" customHeight="1" thickBot="1">
      <c r="B13" s="80" t="s">
        <v>59</v>
      </c>
      <c r="C13" s="105">
        <v>1.47222</v>
      </c>
      <c r="D13" s="106"/>
      <c r="E13" s="49"/>
      <c r="F13" s="81" t="s">
        <v>119</v>
      </c>
      <c r="G13" s="98">
        <f>Berechnung!$F$6</f>
        <v>-12</v>
      </c>
    </row>
    <row r="14" spans="2:7" s="45" customFormat="1" ht="12" customHeight="1" thickBot="1">
      <c r="B14" s="80" t="s">
        <v>56</v>
      </c>
      <c r="C14" s="105">
        <v>1.46992</v>
      </c>
      <c r="D14" s="106"/>
      <c r="E14" s="49"/>
      <c r="F14" s="81" t="s">
        <v>120</v>
      </c>
      <c r="G14" s="98">
        <f>Berechnung!$BF$6</f>
        <v>12</v>
      </c>
    </row>
    <row r="15" spans="2:7" s="45" customFormat="1" ht="12" customHeight="1" thickBot="1">
      <c r="B15" s="80" t="s">
        <v>55</v>
      </c>
      <c r="C15" s="105">
        <v>1.476835</v>
      </c>
      <c r="D15" s="106"/>
      <c r="E15" s="49"/>
      <c r="F15" s="81"/>
      <c r="G15" s="99"/>
    </row>
    <row r="16" spans="2:7" s="45" customFormat="1" ht="12" customHeight="1" thickBot="1">
      <c r="B16" s="80"/>
      <c r="C16" s="44"/>
      <c r="D16" s="44"/>
      <c r="F16" s="81" t="s">
        <v>129</v>
      </c>
      <c r="G16" s="98">
        <f>Berechnung!$F$16</f>
        <v>-9.205439735483033</v>
      </c>
    </row>
    <row r="17" spans="2:7" s="45" customFormat="1" ht="12" customHeight="1" thickBot="1">
      <c r="B17" s="83" t="s">
        <v>90</v>
      </c>
      <c r="C17" s="113">
        <v>3.5</v>
      </c>
      <c r="D17" s="114"/>
      <c r="E17" s="52"/>
      <c r="F17" s="81" t="s">
        <v>134</v>
      </c>
      <c r="G17" s="98">
        <f>Berechnung!$BF$16</f>
        <v>5.533008200191817</v>
      </c>
    </row>
    <row r="18" spans="2:7" s="45" customFormat="1" ht="12" customHeight="1" thickBot="1">
      <c r="B18" s="80"/>
      <c r="C18" s="44"/>
      <c r="D18" s="44"/>
      <c r="F18" s="81" t="s">
        <v>121</v>
      </c>
      <c r="G18" s="98">
        <f>Berechnung!$F$17</f>
        <v>-10.173432075585602</v>
      </c>
    </row>
    <row r="19" spans="2:7" s="45" customFormat="1" ht="12" customHeight="1" thickBot="1">
      <c r="B19" s="83" t="s">
        <v>91</v>
      </c>
      <c r="C19" s="105">
        <v>0</v>
      </c>
      <c r="D19" s="106"/>
      <c r="F19" s="81" t="s">
        <v>126</v>
      </c>
      <c r="G19" s="98">
        <f>Berechnung!$BF$17</f>
        <v>5.759818683671016</v>
      </c>
    </row>
    <row r="20" spans="2:7" s="45" customFormat="1" ht="12" customHeight="1" thickBot="1">
      <c r="B20" s="80"/>
      <c r="C20" s="44"/>
      <c r="D20" s="44"/>
      <c r="F20" s="81"/>
      <c r="G20" s="99"/>
    </row>
    <row r="21" spans="2:60" ht="12" customHeight="1" thickBot="1">
      <c r="B21" s="83" t="s">
        <v>118</v>
      </c>
      <c r="C21" s="105">
        <v>1</v>
      </c>
      <c r="D21" s="106"/>
      <c r="E21" s="49"/>
      <c r="F21" s="81" t="s">
        <v>130</v>
      </c>
      <c r="G21" s="98">
        <f>Berechnung!$F$23</f>
        <v>-11.469517198408157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2:60" ht="12" customHeight="1" thickBot="1">
      <c r="B22" s="83" t="s">
        <v>71</v>
      </c>
      <c r="C22" s="47"/>
      <c r="D22" s="47"/>
      <c r="F22" s="81" t="s">
        <v>135</v>
      </c>
      <c r="G22" s="98">
        <f>Berechnung!$BF$23</f>
        <v>6.062199805071192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2:60" ht="12" customHeight="1" thickBot="1">
      <c r="B23" s="80" t="s">
        <v>89</v>
      </c>
      <c r="C23" s="82">
        <v>-12</v>
      </c>
      <c r="D23" s="82">
        <v>12</v>
      </c>
      <c r="E23" s="53"/>
      <c r="F23" s="81" t="s">
        <v>122</v>
      </c>
      <c r="G23" s="98">
        <f>Berechnung!$F$24</f>
        <v>-2.017469455187147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2:60" ht="12" customHeight="1" thickBot="1">
      <c r="B24" s="80"/>
      <c r="C24" s="47"/>
      <c r="D24" s="47"/>
      <c r="F24" s="81" t="s">
        <v>127</v>
      </c>
      <c r="G24" s="98">
        <f>Berechnung!$BF$24</f>
        <v>26.1317917668625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2:60" ht="12" customHeight="1" thickBot="1">
      <c r="B25" s="80"/>
      <c r="C25" s="47"/>
      <c r="D25" s="47"/>
      <c r="F25" s="81"/>
      <c r="G25" s="9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2:60" ht="12" customHeight="1" thickBot="1">
      <c r="B26" s="83" t="s">
        <v>67</v>
      </c>
      <c r="C26" s="47"/>
      <c r="D26" s="47"/>
      <c r="F26" s="81" t="s">
        <v>131</v>
      </c>
      <c r="G26" s="98">
        <f>Berechnung!$F$30</f>
        <v>2.9631744126423634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2:60" ht="12" customHeight="1" thickBot="1">
      <c r="B27" s="80" t="s">
        <v>72</v>
      </c>
      <c r="C27" s="105">
        <v>7.4</v>
      </c>
      <c r="D27" s="106"/>
      <c r="E27" s="49"/>
      <c r="F27" s="81" t="s">
        <v>136</v>
      </c>
      <c r="G27" s="98">
        <f>Berechnung!$BF$30</f>
        <v>21.976391589445115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2:60" ht="12" customHeight="1" thickBot="1">
      <c r="B28" s="80" t="s">
        <v>75</v>
      </c>
      <c r="C28" s="105">
        <v>1</v>
      </c>
      <c r="D28" s="106"/>
      <c r="E28" s="49"/>
      <c r="F28" s="81" t="s">
        <v>123</v>
      </c>
      <c r="G28" s="98">
        <f>Berechnung!$F$31</f>
        <v>3.7590880627087593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2:7" s="55" customFormat="1" ht="12" customHeight="1" thickBot="1">
      <c r="B29" s="80" t="s">
        <v>73</v>
      </c>
      <c r="C29" s="111">
        <v>1</v>
      </c>
      <c r="D29" s="112"/>
      <c r="E29" s="54"/>
      <c r="F29" s="81" t="s">
        <v>128</v>
      </c>
      <c r="G29" s="98">
        <f>Berechnung!$BF$31</f>
        <v>22.337699382732033</v>
      </c>
    </row>
    <row r="30" spans="2:60" ht="12" customHeight="1" thickBot="1">
      <c r="B30" s="85" t="s">
        <v>74</v>
      </c>
      <c r="C30" s="105">
        <v>1</v>
      </c>
      <c r="D30" s="106"/>
      <c r="E30" s="49"/>
      <c r="F30" s="81"/>
      <c r="G30" s="99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2:60" ht="12" customHeight="1" thickBot="1">
      <c r="B31" s="80" t="s">
        <v>86</v>
      </c>
      <c r="C31" s="47"/>
      <c r="D31" s="47"/>
      <c r="F31" s="81" t="s">
        <v>132</v>
      </c>
      <c r="G31" s="98">
        <f>Berechnung!$F$37</f>
        <v>7.752253849498004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2:60" ht="12" customHeight="1" thickBot="1">
      <c r="B32" s="83" t="s">
        <v>68</v>
      </c>
      <c r="C32" s="47"/>
      <c r="D32" s="47"/>
      <c r="F32" s="81" t="s">
        <v>133</v>
      </c>
      <c r="G32" s="98">
        <f>Berechnung!$BF$37</f>
        <v>24.19687497446215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2:7" s="57" customFormat="1" ht="12" customHeight="1" thickBot="1">
      <c r="B33" s="80" t="s">
        <v>72</v>
      </c>
      <c r="C33" s="105">
        <v>29.9</v>
      </c>
      <c r="D33" s="106"/>
      <c r="E33" s="56"/>
      <c r="F33" s="81"/>
      <c r="G33" s="99"/>
    </row>
    <row r="34" spans="2:7" s="57" customFormat="1" ht="12" customHeight="1" thickBot="1">
      <c r="B34" s="80" t="s">
        <v>77</v>
      </c>
      <c r="C34" s="115">
        <f>Berechnung!G8</f>
        <v>2</v>
      </c>
      <c r="D34" s="116"/>
      <c r="E34" s="56"/>
      <c r="F34" s="80" t="s">
        <v>124</v>
      </c>
      <c r="G34" s="98">
        <f>Berechnung!$F$38</f>
        <v>-15.884761162976407</v>
      </c>
    </row>
    <row r="35" spans="2:9" ht="12" customHeight="1" thickBot="1">
      <c r="B35" s="80" t="s">
        <v>76</v>
      </c>
      <c r="C35" s="117">
        <f>Berechnung!G9</f>
        <v>12.25</v>
      </c>
      <c r="D35" s="118"/>
      <c r="E35" s="49"/>
      <c r="F35" s="81" t="s">
        <v>85</v>
      </c>
      <c r="G35" s="100"/>
      <c r="H35" s="58"/>
      <c r="I35" s="58"/>
    </row>
    <row r="36" spans="2:9" ht="12" customHeight="1" thickBot="1">
      <c r="B36" s="85" t="s">
        <v>78</v>
      </c>
      <c r="C36" s="115">
        <f>Berechnung!G7</f>
        <v>-1</v>
      </c>
      <c r="D36" s="116"/>
      <c r="E36" s="49"/>
      <c r="F36" s="81" t="s">
        <v>125</v>
      </c>
      <c r="G36" s="98">
        <f>Berechnung!$BF$38</f>
        <v>15.927404154395887</v>
      </c>
      <c r="H36" s="58"/>
      <c r="I36" s="58"/>
    </row>
    <row r="37" spans="2:9" ht="12" customHeight="1">
      <c r="B37" s="85"/>
      <c r="C37" s="76"/>
      <c r="D37" s="76"/>
      <c r="E37" s="49"/>
      <c r="F37" s="81" t="s">
        <v>85</v>
      </c>
      <c r="G37" s="101"/>
      <c r="H37" s="58"/>
      <c r="I37" s="58"/>
    </row>
    <row r="38" spans="2:9" ht="12" customHeight="1" thickBot="1">
      <c r="B38" s="83" t="s">
        <v>69</v>
      </c>
      <c r="C38" s="47"/>
      <c r="D38" s="47"/>
      <c r="F38" s="94"/>
      <c r="G38" s="102"/>
      <c r="H38" s="58"/>
      <c r="I38" s="58"/>
    </row>
    <row r="39" spans="2:9" ht="12" customHeight="1" thickBot="1">
      <c r="B39" s="80" t="s">
        <v>72</v>
      </c>
      <c r="C39" s="105">
        <v>29</v>
      </c>
      <c r="D39" s="106"/>
      <c r="E39" s="49"/>
      <c r="F39" s="94" t="s">
        <v>107</v>
      </c>
      <c r="G39" s="98">
        <f>Berechnung!$G$11</f>
        <v>20.46222664015898</v>
      </c>
      <c r="H39" s="58"/>
      <c r="I39" s="58"/>
    </row>
    <row r="40" spans="2:7" s="57" customFormat="1" ht="12" customHeight="1" thickBot="1">
      <c r="B40" s="80" t="s">
        <v>75</v>
      </c>
      <c r="C40" s="105">
        <v>2</v>
      </c>
      <c r="D40" s="106"/>
      <c r="E40" s="56"/>
      <c r="F40" s="94" t="s">
        <v>108</v>
      </c>
      <c r="G40" s="98">
        <f>Berechnung!$H$11</f>
        <v>68.28922631959506</v>
      </c>
    </row>
    <row r="41" spans="2:7" s="57" customFormat="1" ht="12" customHeight="1" thickBot="1">
      <c r="B41" s="80" t="s">
        <v>73</v>
      </c>
      <c r="C41" s="111">
        <v>-27.8</v>
      </c>
      <c r="D41" s="112"/>
      <c r="E41" s="56"/>
      <c r="F41" s="83"/>
      <c r="G41" s="102"/>
    </row>
    <row r="42" spans="2:7" s="57" customFormat="1" ht="12" customHeight="1" thickBot="1">
      <c r="B42" s="85" t="s">
        <v>74</v>
      </c>
      <c r="C42" s="105">
        <v>1</v>
      </c>
      <c r="D42" s="106"/>
      <c r="E42" s="56"/>
      <c r="F42" s="83" t="s">
        <v>109</v>
      </c>
      <c r="G42" s="98">
        <f>Berechnung!$I$12</f>
        <v>6.850844930417477</v>
      </c>
    </row>
    <row r="43" spans="2:7" s="57" customFormat="1" ht="12" customHeight="1" thickBot="1">
      <c r="B43" s="80" t="s">
        <v>86</v>
      </c>
      <c r="C43" s="121"/>
      <c r="D43" s="121"/>
      <c r="E43" s="56"/>
      <c r="F43" s="83" t="s">
        <v>110</v>
      </c>
      <c r="G43" s="98">
        <f>Berechnung!$I$13</f>
        <v>6.644632206759426</v>
      </c>
    </row>
    <row r="44" spans="2:7" s="57" customFormat="1" ht="12" customHeight="1" thickBot="1">
      <c r="B44" s="83" t="s">
        <v>70</v>
      </c>
      <c r="C44" s="77"/>
      <c r="D44" s="77"/>
      <c r="F44" s="83"/>
      <c r="G44" s="103"/>
    </row>
    <row r="45" spans="2:7" s="57" customFormat="1" ht="12" customHeight="1" thickBot="1">
      <c r="B45" s="80" t="s">
        <v>72</v>
      </c>
      <c r="C45" s="105">
        <v>6</v>
      </c>
      <c r="D45" s="106"/>
      <c r="E45" s="56"/>
      <c r="F45" s="95" t="s">
        <v>116</v>
      </c>
      <c r="G45" s="104">
        <f>Berechnung!$G$64</f>
        <v>1.4878959316901548</v>
      </c>
    </row>
    <row r="46" spans="2:13" s="57" customFormat="1" ht="12" customHeight="1" thickBot="1">
      <c r="B46" s="80" t="s">
        <v>77</v>
      </c>
      <c r="C46" s="115">
        <f>Berechnung!I8</f>
        <v>1</v>
      </c>
      <c r="D46" s="116"/>
      <c r="E46" s="56"/>
      <c r="F46" s="95" t="s">
        <v>137</v>
      </c>
      <c r="G46" s="104">
        <f>Berechnung!$G$65</f>
        <v>1.9838612422535395</v>
      </c>
      <c r="H46" s="59"/>
      <c r="I46" s="59"/>
      <c r="J46" s="59"/>
      <c r="K46" s="59"/>
      <c r="L46" s="59"/>
      <c r="M46" s="59"/>
    </row>
    <row r="47" spans="2:13" ht="12" customHeight="1" thickBot="1">
      <c r="B47" s="80" t="s">
        <v>76</v>
      </c>
      <c r="C47" s="117">
        <f>Berechnung!I9</f>
        <v>-39.3</v>
      </c>
      <c r="D47" s="118"/>
      <c r="E47" s="49"/>
      <c r="F47" s="95" t="s">
        <v>138</v>
      </c>
      <c r="G47" s="104">
        <f>Berechnung!$G$67</f>
        <v>1.9948062143484435</v>
      </c>
      <c r="H47" s="60"/>
      <c r="I47" s="53"/>
      <c r="J47" s="53"/>
      <c r="K47" s="53"/>
      <c r="L47" s="53"/>
      <c r="M47" s="53"/>
    </row>
    <row r="48" spans="2:13" ht="12" customHeight="1" thickBot="1">
      <c r="B48" s="85" t="s">
        <v>78</v>
      </c>
      <c r="C48" s="115">
        <f>Berechnung!I7</f>
        <v>-1</v>
      </c>
      <c r="D48" s="116"/>
      <c r="E48" s="49"/>
      <c r="F48" s="47"/>
      <c r="G48" s="53"/>
      <c r="H48" s="60"/>
      <c r="I48" s="53"/>
      <c r="J48" s="53"/>
      <c r="K48" s="53"/>
      <c r="L48" s="53"/>
      <c r="M48" s="53"/>
    </row>
    <row r="49" spans="2:13" ht="12.75">
      <c r="B49" s="57"/>
      <c r="G49" s="53"/>
      <c r="H49" s="61"/>
      <c r="I49" s="61"/>
      <c r="J49" s="61"/>
      <c r="K49" s="61"/>
      <c r="L49" s="61"/>
      <c r="M49" s="53"/>
    </row>
    <row r="50" spans="2:13" ht="12.75">
      <c r="B50" s="57"/>
      <c r="G50" s="62"/>
      <c r="H50" s="61"/>
      <c r="I50" s="61"/>
      <c r="J50" s="61"/>
      <c r="K50" s="61"/>
      <c r="L50" s="61"/>
      <c r="M50" s="53"/>
    </row>
    <row r="51" spans="2:13" ht="12.75">
      <c r="B51" s="57"/>
      <c r="G51" s="62"/>
      <c r="H51" s="61"/>
      <c r="I51" s="61"/>
      <c r="J51" s="61"/>
      <c r="K51" s="61"/>
      <c r="L51" s="61"/>
      <c r="M51" s="53"/>
    </row>
    <row r="52" spans="7:13" ht="12.75">
      <c r="G52" s="62"/>
      <c r="H52" s="53"/>
      <c r="I52" s="53"/>
      <c r="J52" s="53"/>
      <c r="K52" s="53"/>
      <c r="L52" s="53"/>
      <c r="M52" s="53"/>
    </row>
    <row r="53" spans="7:13" ht="12.75">
      <c r="G53" s="53"/>
      <c r="H53" s="60"/>
      <c r="I53" s="53"/>
      <c r="J53" s="53"/>
      <c r="K53" s="53"/>
      <c r="L53" s="53"/>
      <c r="M53" s="53"/>
    </row>
    <row r="54" spans="7:13" ht="12.75">
      <c r="G54" s="53"/>
      <c r="H54" s="53"/>
      <c r="I54" s="53"/>
      <c r="J54" s="53"/>
      <c r="K54" s="53"/>
      <c r="L54" s="53"/>
      <c r="M54" s="53"/>
    </row>
    <row r="55" spans="7:13" ht="29.25" customHeight="1">
      <c r="G55" s="63"/>
      <c r="H55" s="60"/>
      <c r="I55" s="53"/>
      <c r="J55" s="53"/>
      <c r="K55" s="53"/>
      <c r="L55" s="53"/>
      <c r="M55" s="53"/>
    </row>
    <row r="56" spans="7:13" ht="41.25" customHeight="1">
      <c r="G56" s="63"/>
      <c r="H56" s="60"/>
      <c r="I56" s="53"/>
      <c r="J56" s="53"/>
      <c r="K56" s="53"/>
      <c r="L56" s="53"/>
      <c r="M56" s="53"/>
    </row>
    <row r="57" spans="7:26" ht="12.75">
      <c r="G57" s="53"/>
      <c r="H57" s="53"/>
      <c r="I57" s="53"/>
      <c r="J57" s="53"/>
      <c r="K57" s="53"/>
      <c r="L57" s="53"/>
      <c r="M57" s="53"/>
      <c r="X57" s="57"/>
      <c r="Y57" s="57"/>
      <c r="Z57" s="57"/>
    </row>
    <row r="58" spans="7:13" ht="12.75">
      <c r="G58" s="53"/>
      <c r="H58" s="53"/>
      <c r="I58" s="53"/>
      <c r="J58" s="53"/>
      <c r="K58" s="53"/>
      <c r="L58" s="53"/>
      <c r="M58" s="53"/>
    </row>
    <row r="59" spans="7:13" ht="12.75">
      <c r="G59" s="53"/>
      <c r="H59" s="53"/>
      <c r="I59" s="53"/>
      <c r="J59" s="53"/>
      <c r="K59" s="53"/>
      <c r="L59" s="53"/>
      <c r="M59" s="53"/>
    </row>
    <row r="60" spans="7:13" ht="12.75">
      <c r="G60" s="53"/>
      <c r="H60" s="53"/>
      <c r="I60" s="53"/>
      <c r="J60" s="53"/>
      <c r="K60" s="53"/>
      <c r="L60" s="53"/>
      <c r="M60" s="53"/>
    </row>
    <row r="61" spans="7:25" ht="12.75">
      <c r="G61" s="53"/>
      <c r="H61" s="53"/>
      <c r="I61" s="53"/>
      <c r="J61" s="53"/>
      <c r="K61" s="53"/>
      <c r="L61" s="53"/>
      <c r="M61" s="53"/>
      <c r="X61" s="57"/>
      <c r="Y61" s="50"/>
    </row>
    <row r="62" spans="7:25" ht="12.75">
      <c r="G62" s="53"/>
      <c r="H62" s="53"/>
      <c r="I62" s="53"/>
      <c r="J62" s="53"/>
      <c r="K62" s="53"/>
      <c r="L62" s="53"/>
      <c r="M62" s="53"/>
      <c r="X62" s="57"/>
      <c r="Y62" s="50"/>
    </row>
    <row r="63" spans="7:25" ht="12.75">
      <c r="G63" s="53"/>
      <c r="H63" s="53"/>
      <c r="I63" s="53"/>
      <c r="J63" s="53"/>
      <c r="K63" s="53"/>
      <c r="L63" s="53"/>
      <c r="M63" s="53"/>
      <c r="X63" s="57"/>
      <c r="Y63" s="50"/>
    </row>
    <row r="64" spans="7:25" ht="12.75">
      <c r="G64" s="53"/>
      <c r="H64" s="53"/>
      <c r="I64" s="53"/>
      <c r="J64" s="53"/>
      <c r="K64" s="53"/>
      <c r="L64" s="53"/>
      <c r="M64" s="53"/>
      <c r="X64" s="57"/>
      <c r="Y64" s="50"/>
    </row>
    <row r="65" spans="7:25" ht="12.75">
      <c r="G65" s="53"/>
      <c r="H65" s="53"/>
      <c r="I65" s="53"/>
      <c r="J65" s="53"/>
      <c r="K65" s="53"/>
      <c r="L65" s="53"/>
      <c r="M65" s="53"/>
      <c r="X65" s="57"/>
      <c r="Y65" s="50"/>
    </row>
    <row r="66" spans="7:25" ht="12.75">
      <c r="G66" s="53"/>
      <c r="H66" s="53"/>
      <c r="I66" s="53"/>
      <c r="J66" s="53"/>
      <c r="K66" s="53"/>
      <c r="L66" s="53"/>
      <c r="M66" s="53"/>
      <c r="X66" s="57"/>
      <c r="Y66" s="50"/>
    </row>
    <row r="67" spans="7:25" ht="12.75">
      <c r="G67" s="53"/>
      <c r="H67" s="53"/>
      <c r="I67" s="53"/>
      <c r="J67" s="53"/>
      <c r="K67" s="53"/>
      <c r="L67" s="53"/>
      <c r="M67" s="53"/>
      <c r="X67" s="57"/>
      <c r="Y67" s="50"/>
    </row>
    <row r="68" spans="7:25" ht="12.75">
      <c r="G68" s="53"/>
      <c r="H68" s="53"/>
      <c r="I68" s="53"/>
      <c r="J68" s="53"/>
      <c r="K68" s="53"/>
      <c r="L68" s="53"/>
      <c r="M68" s="53"/>
      <c r="X68" s="57"/>
      <c r="Y68" s="50"/>
    </row>
    <row r="69" spans="7:25" ht="12.75">
      <c r="G69" s="53"/>
      <c r="H69" s="53"/>
      <c r="I69" s="53"/>
      <c r="J69" s="53"/>
      <c r="K69" s="53"/>
      <c r="L69" s="53"/>
      <c r="M69" s="53"/>
      <c r="X69" s="57"/>
      <c r="Y69" s="50"/>
    </row>
    <row r="70" spans="7:25" ht="12.75">
      <c r="G70" s="53"/>
      <c r="H70" s="53"/>
      <c r="I70" s="53"/>
      <c r="J70" s="53"/>
      <c r="K70" s="53"/>
      <c r="L70" s="53"/>
      <c r="M70" s="53"/>
      <c r="X70" s="57"/>
      <c r="Y70" s="50"/>
    </row>
    <row r="71" spans="7:25" ht="12.75">
      <c r="G71" s="53"/>
      <c r="H71" s="53"/>
      <c r="I71" s="53"/>
      <c r="J71" s="53"/>
      <c r="K71" s="53"/>
      <c r="L71" s="53"/>
      <c r="M71" s="53"/>
      <c r="X71" s="57"/>
      <c r="Y71" s="50"/>
    </row>
    <row r="72" spans="7:25" ht="12.75">
      <c r="G72" s="53"/>
      <c r="H72" s="53"/>
      <c r="I72" s="53"/>
      <c r="J72" s="53"/>
      <c r="K72" s="53"/>
      <c r="L72" s="53"/>
      <c r="M72" s="53"/>
      <c r="X72" s="57"/>
      <c r="Y72" s="50"/>
    </row>
    <row r="73" spans="7:25" ht="12.75">
      <c r="G73" s="53"/>
      <c r="H73" s="53"/>
      <c r="I73" s="53"/>
      <c r="J73" s="53"/>
      <c r="K73" s="53"/>
      <c r="L73" s="53"/>
      <c r="M73" s="53"/>
      <c r="X73" s="57"/>
      <c r="Y73" s="50"/>
    </row>
    <row r="74" spans="7:25" ht="12.75">
      <c r="G74" s="53"/>
      <c r="H74" s="53"/>
      <c r="I74" s="53"/>
      <c r="J74" s="53"/>
      <c r="K74" s="53"/>
      <c r="L74" s="53"/>
      <c r="M74" s="53"/>
      <c r="X74" s="57"/>
      <c r="Y74" s="50"/>
    </row>
    <row r="75" spans="7:25" ht="12.75">
      <c r="G75" s="53"/>
      <c r="H75" s="53"/>
      <c r="I75" s="53"/>
      <c r="J75" s="53"/>
      <c r="K75" s="53"/>
      <c r="L75" s="53"/>
      <c r="M75" s="53"/>
      <c r="X75" s="57"/>
      <c r="Y75" s="50"/>
    </row>
    <row r="76" spans="7:25" ht="12.75">
      <c r="G76" s="53"/>
      <c r="H76" s="53"/>
      <c r="I76" s="53"/>
      <c r="J76" s="53"/>
      <c r="K76" s="53"/>
      <c r="L76" s="53"/>
      <c r="M76" s="53"/>
      <c r="X76" s="57"/>
      <c r="Y76" s="50"/>
    </row>
    <row r="77" spans="7:25" ht="12.75">
      <c r="G77" s="53"/>
      <c r="H77" s="53"/>
      <c r="I77" s="53"/>
      <c r="J77" s="53"/>
      <c r="K77" s="53"/>
      <c r="L77" s="53"/>
      <c r="M77" s="53"/>
      <c r="X77" s="57"/>
      <c r="Y77" s="50"/>
    </row>
    <row r="78" spans="7:25" ht="12.75">
      <c r="G78" s="53"/>
      <c r="H78" s="53"/>
      <c r="I78" s="53"/>
      <c r="J78" s="53"/>
      <c r="K78" s="53"/>
      <c r="L78" s="53"/>
      <c r="M78" s="53"/>
      <c r="X78" s="57"/>
      <c r="Y78" s="50"/>
    </row>
    <row r="79" spans="7:25" ht="12.75">
      <c r="G79" s="53"/>
      <c r="H79" s="53"/>
      <c r="I79" s="53"/>
      <c r="J79" s="53"/>
      <c r="K79" s="53"/>
      <c r="L79" s="53"/>
      <c r="M79" s="53"/>
      <c r="X79" s="57"/>
      <c r="Y79" s="50"/>
    </row>
    <row r="80" spans="7:25" ht="13.5" thickBot="1">
      <c r="G80" s="53"/>
      <c r="H80" s="53"/>
      <c r="I80" s="53"/>
      <c r="J80" s="53"/>
      <c r="K80" s="53"/>
      <c r="L80" s="53"/>
      <c r="M80" s="53"/>
      <c r="X80" s="57"/>
      <c r="Y80" s="50"/>
    </row>
    <row r="81" spans="7:25" ht="12.75">
      <c r="G81" s="53"/>
      <c r="H81" s="53"/>
      <c r="I81" s="53"/>
      <c r="J81" s="64"/>
      <c r="K81" s="53"/>
      <c r="L81" s="53"/>
      <c r="M81" s="53"/>
      <c r="N81" s="65"/>
      <c r="O81" s="65"/>
      <c r="X81" s="57"/>
      <c r="Y81" s="50"/>
    </row>
    <row r="82" spans="7:25" ht="12.75">
      <c r="G82" s="53"/>
      <c r="H82" s="53"/>
      <c r="I82" s="53"/>
      <c r="J82" s="64"/>
      <c r="K82" s="53"/>
      <c r="L82" s="53"/>
      <c r="M82" s="53"/>
      <c r="N82" s="66"/>
      <c r="O82" s="66"/>
      <c r="X82" s="57"/>
      <c r="Y82" s="50"/>
    </row>
    <row r="83" spans="7:25" ht="13.5" thickBot="1">
      <c r="G83" s="53"/>
      <c r="H83" s="53"/>
      <c r="I83" s="53"/>
      <c r="J83" s="64"/>
      <c r="K83" s="53"/>
      <c r="L83" s="53"/>
      <c r="M83" s="53"/>
      <c r="N83" s="67"/>
      <c r="O83" s="67"/>
      <c r="X83" s="57"/>
      <c r="Y83" s="50"/>
    </row>
    <row r="84" spans="7:25" ht="12.75">
      <c r="G84" s="53"/>
      <c r="H84" s="53"/>
      <c r="I84" s="53"/>
      <c r="J84" s="53"/>
      <c r="K84" s="53"/>
      <c r="L84" s="53"/>
      <c r="M84" s="53"/>
      <c r="X84" s="57"/>
      <c r="Y84" s="50"/>
    </row>
    <row r="85" spans="7:25" ht="12.75">
      <c r="G85" s="53"/>
      <c r="H85" s="53"/>
      <c r="I85" s="53"/>
      <c r="J85" s="53"/>
      <c r="K85" s="53"/>
      <c r="L85" s="53"/>
      <c r="M85" s="53"/>
      <c r="X85" s="57"/>
      <c r="Y85" s="50"/>
    </row>
    <row r="86" spans="7:25" ht="12.75">
      <c r="G86" s="53"/>
      <c r="H86" s="53"/>
      <c r="I86" s="53"/>
      <c r="J86" s="53"/>
      <c r="K86" s="53"/>
      <c r="L86" s="53"/>
      <c r="M86" s="53"/>
      <c r="X86" s="57"/>
      <c r="Y86" s="50"/>
    </row>
    <row r="87" spans="7:25" ht="12.75">
      <c r="G87" s="53"/>
      <c r="H87" s="53"/>
      <c r="I87" s="53"/>
      <c r="J87" s="53"/>
      <c r="K87" s="53"/>
      <c r="L87" s="53"/>
      <c r="M87" s="53"/>
      <c r="X87" s="57"/>
      <c r="Y87" s="50"/>
    </row>
    <row r="88" spans="7:25" ht="12.75">
      <c r="G88" s="53"/>
      <c r="H88" s="53"/>
      <c r="I88" s="53"/>
      <c r="J88" s="53"/>
      <c r="K88" s="53"/>
      <c r="L88" s="53"/>
      <c r="M88" s="53"/>
      <c r="X88" s="57"/>
      <c r="Y88" s="50"/>
    </row>
    <row r="89" spans="7:25" ht="12.75">
      <c r="G89" s="53"/>
      <c r="H89" s="53"/>
      <c r="I89" s="53"/>
      <c r="J89" s="53"/>
      <c r="K89" s="53"/>
      <c r="L89" s="53"/>
      <c r="M89" s="53"/>
      <c r="X89" s="57"/>
      <c r="Y89" s="50"/>
    </row>
    <row r="90" spans="7:25" ht="12.75">
      <c r="G90" s="53"/>
      <c r="H90" s="53"/>
      <c r="I90" s="53"/>
      <c r="J90" s="53"/>
      <c r="K90" s="53"/>
      <c r="L90" s="53"/>
      <c r="M90" s="53"/>
      <c r="X90" s="57"/>
      <c r="Y90" s="50"/>
    </row>
    <row r="91" spans="7:25" ht="12.75">
      <c r="G91" s="53"/>
      <c r="H91" s="53"/>
      <c r="I91" s="53"/>
      <c r="J91" s="53"/>
      <c r="K91" s="53"/>
      <c r="L91" s="53"/>
      <c r="M91" s="53"/>
      <c r="X91" s="57"/>
      <c r="Y91" s="50"/>
    </row>
    <row r="92" spans="7:25" ht="12.75">
      <c r="G92" s="53"/>
      <c r="H92" s="53"/>
      <c r="I92" s="53"/>
      <c r="J92" s="53"/>
      <c r="K92" s="53"/>
      <c r="L92" s="53"/>
      <c r="M92" s="53"/>
      <c r="X92" s="57"/>
      <c r="Y92" s="50"/>
    </row>
    <row r="93" spans="7:25" ht="12.75">
      <c r="G93" s="53"/>
      <c r="H93" s="53"/>
      <c r="I93" s="53"/>
      <c r="J93" s="53"/>
      <c r="K93" s="53"/>
      <c r="L93" s="53"/>
      <c r="M93" s="53"/>
      <c r="X93" s="57"/>
      <c r="Y93" s="50"/>
    </row>
    <row r="94" spans="7:25" ht="12.75">
      <c r="G94" s="53"/>
      <c r="H94" s="53"/>
      <c r="I94" s="53"/>
      <c r="J94" s="53"/>
      <c r="K94" s="53"/>
      <c r="L94" s="53"/>
      <c r="M94" s="53"/>
      <c r="X94" s="57"/>
      <c r="Y94" s="50"/>
    </row>
    <row r="95" spans="7:25" ht="12.75">
      <c r="G95" s="53"/>
      <c r="H95" s="53"/>
      <c r="I95" s="53"/>
      <c r="J95" s="53"/>
      <c r="K95" s="53"/>
      <c r="L95" s="53"/>
      <c r="M95" s="53"/>
      <c r="X95" s="57"/>
      <c r="Y95" s="50"/>
    </row>
    <row r="96" spans="7:25" ht="12.75">
      <c r="G96" s="53"/>
      <c r="H96" s="53"/>
      <c r="I96" s="53"/>
      <c r="J96" s="53"/>
      <c r="K96" s="53"/>
      <c r="L96" s="53"/>
      <c r="M96" s="53"/>
      <c r="X96" s="57"/>
      <c r="Y96" s="50"/>
    </row>
    <row r="97" spans="7:25" ht="12.75">
      <c r="G97" s="53"/>
      <c r="H97" s="53"/>
      <c r="I97" s="53"/>
      <c r="J97" s="53"/>
      <c r="K97" s="53"/>
      <c r="L97" s="53"/>
      <c r="M97" s="53"/>
      <c r="X97" s="57"/>
      <c r="Y97" s="50"/>
    </row>
    <row r="98" spans="7:25" ht="12.75">
      <c r="G98" s="53"/>
      <c r="H98" s="53"/>
      <c r="I98" s="53"/>
      <c r="J98" s="53"/>
      <c r="K98" s="53"/>
      <c r="L98" s="53"/>
      <c r="M98" s="53"/>
      <c r="X98" s="57"/>
      <c r="Y98" s="50"/>
    </row>
    <row r="99" spans="7:25" ht="12.75">
      <c r="G99" s="53"/>
      <c r="H99" s="53"/>
      <c r="I99" s="53"/>
      <c r="J99" s="53"/>
      <c r="K99" s="53"/>
      <c r="L99" s="53"/>
      <c r="M99" s="53"/>
      <c r="X99" s="57"/>
      <c r="Y99" s="50"/>
    </row>
    <row r="100" spans="7:25" ht="12.75">
      <c r="G100" s="53"/>
      <c r="H100" s="53"/>
      <c r="I100" s="53"/>
      <c r="J100" s="53"/>
      <c r="K100" s="53"/>
      <c r="L100" s="53"/>
      <c r="M100" s="53"/>
      <c r="X100" s="57"/>
      <c r="Y100" s="50"/>
    </row>
    <row r="101" spans="7:25" ht="12.75">
      <c r="G101" s="53"/>
      <c r="H101" s="53"/>
      <c r="I101" s="53"/>
      <c r="J101" s="53"/>
      <c r="K101" s="53"/>
      <c r="L101" s="53"/>
      <c r="M101" s="53"/>
      <c r="X101" s="57"/>
      <c r="Y101" s="50"/>
    </row>
    <row r="102" spans="7:25" ht="12.75">
      <c r="G102" s="53"/>
      <c r="H102" s="53"/>
      <c r="I102" s="53"/>
      <c r="J102" s="53"/>
      <c r="K102" s="53"/>
      <c r="L102" s="53"/>
      <c r="M102" s="53"/>
      <c r="X102" s="57"/>
      <c r="Y102" s="50"/>
    </row>
    <row r="103" spans="7:25" ht="12.75">
      <c r="G103" s="53"/>
      <c r="H103" s="53"/>
      <c r="I103" s="53"/>
      <c r="J103" s="53"/>
      <c r="K103" s="53"/>
      <c r="L103" s="53"/>
      <c r="M103" s="53"/>
      <c r="X103" s="57"/>
      <c r="Y103" s="50"/>
    </row>
    <row r="104" spans="7:25" ht="12.75">
      <c r="G104" s="53"/>
      <c r="H104" s="53"/>
      <c r="I104" s="53"/>
      <c r="J104" s="53"/>
      <c r="K104" s="53"/>
      <c r="L104" s="53"/>
      <c r="M104" s="53"/>
      <c r="X104" s="57"/>
      <c r="Y104" s="50"/>
    </row>
    <row r="105" spans="7:25" ht="12.75">
      <c r="G105" s="53"/>
      <c r="H105" s="53"/>
      <c r="I105" s="53"/>
      <c r="J105" s="53"/>
      <c r="K105" s="53"/>
      <c r="L105" s="53"/>
      <c r="M105" s="53"/>
      <c r="X105" s="57"/>
      <c r="Y105" s="50"/>
    </row>
    <row r="106" spans="7:25" ht="12.75">
      <c r="G106" s="53"/>
      <c r="H106" s="53"/>
      <c r="I106" s="53"/>
      <c r="J106" s="53"/>
      <c r="K106" s="53"/>
      <c r="L106" s="53"/>
      <c r="M106" s="53"/>
      <c r="X106" s="57"/>
      <c r="Y106" s="50"/>
    </row>
    <row r="107" spans="7:25" ht="12.75">
      <c r="G107" s="53"/>
      <c r="H107" s="53"/>
      <c r="I107" s="53"/>
      <c r="J107" s="53"/>
      <c r="K107" s="53"/>
      <c r="L107" s="53"/>
      <c r="M107" s="53"/>
      <c r="X107" s="57"/>
      <c r="Y107" s="50"/>
    </row>
    <row r="108" spans="7:25" ht="12.75">
      <c r="G108" s="53"/>
      <c r="H108" s="53"/>
      <c r="I108" s="53"/>
      <c r="J108" s="53"/>
      <c r="K108" s="53"/>
      <c r="L108" s="53"/>
      <c r="M108" s="53"/>
      <c r="X108" s="57"/>
      <c r="Y108" s="50"/>
    </row>
    <row r="109" spans="7:25" ht="12.75">
      <c r="G109" s="53"/>
      <c r="H109" s="53"/>
      <c r="I109" s="53"/>
      <c r="J109" s="53"/>
      <c r="K109" s="53"/>
      <c r="L109" s="53"/>
      <c r="M109" s="53"/>
      <c r="X109" s="57"/>
      <c r="Y109" s="50"/>
    </row>
    <row r="110" spans="7:25" ht="12.75">
      <c r="G110" s="53"/>
      <c r="H110" s="53"/>
      <c r="I110" s="53"/>
      <c r="J110" s="53"/>
      <c r="K110" s="53"/>
      <c r="L110" s="53"/>
      <c r="M110" s="53"/>
      <c r="X110" s="57"/>
      <c r="Y110" s="50"/>
    </row>
    <row r="111" spans="7:25" ht="12.75">
      <c r="G111" s="53"/>
      <c r="H111" s="53"/>
      <c r="I111" s="53"/>
      <c r="J111" s="53"/>
      <c r="K111" s="53"/>
      <c r="L111" s="53"/>
      <c r="M111" s="53"/>
      <c r="X111" s="57"/>
      <c r="Y111" s="50"/>
    </row>
    <row r="112" spans="7:25" ht="12.75">
      <c r="G112" s="53"/>
      <c r="H112" s="53"/>
      <c r="I112" s="53"/>
      <c r="J112" s="53"/>
      <c r="K112" s="53"/>
      <c r="L112" s="53"/>
      <c r="M112" s="53"/>
      <c r="X112" s="57"/>
      <c r="Y112" s="50"/>
    </row>
    <row r="113" spans="7:25" ht="12.75">
      <c r="G113" s="53"/>
      <c r="H113" s="53"/>
      <c r="I113" s="53"/>
      <c r="J113" s="53"/>
      <c r="K113" s="53"/>
      <c r="L113" s="53"/>
      <c r="M113" s="53"/>
      <c r="X113" s="57"/>
      <c r="Y113" s="50"/>
    </row>
    <row r="114" spans="7:25" ht="12.75">
      <c r="G114" s="53"/>
      <c r="H114" s="53"/>
      <c r="I114" s="53"/>
      <c r="J114" s="53"/>
      <c r="K114" s="53"/>
      <c r="L114" s="53"/>
      <c r="M114" s="53"/>
      <c r="X114" s="57"/>
      <c r="Y114" s="50"/>
    </row>
    <row r="115" spans="7:25" ht="12.75">
      <c r="G115" s="53"/>
      <c r="H115" s="53"/>
      <c r="I115" s="53"/>
      <c r="J115" s="53"/>
      <c r="K115" s="53"/>
      <c r="L115" s="53"/>
      <c r="M115" s="53"/>
      <c r="X115" s="57"/>
      <c r="Y115" s="50"/>
    </row>
    <row r="116" spans="7:25" ht="12.75">
      <c r="G116" s="53"/>
      <c r="H116" s="53"/>
      <c r="I116" s="53"/>
      <c r="J116" s="53"/>
      <c r="K116" s="53"/>
      <c r="L116" s="53"/>
      <c r="M116" s="53"/>
      <c r="X116" s="57"/>
      <c r="Y116" s="50"/>
    </row>
    <row r="117" spans="7:25" ht="12.75">
      <c r="G117" s="53"/>
      <c r="H117" s="53"/>
      <c r="I117" s="53"/>
      <c r="J117" s="53"/>
      <c r="K117" s="53"/>
      <c r="L117" s="53"/>
      <c r="M117" s="53"/>
      <c r="X117" s="57"/>
      <c r="Y117" s="50"/>
    </row>
    <row r="118" spans="7:25" ht="12.75">
      <c r="G118" s="53"/>
      <c r="H118" s="53"/>
      <c r="I118" s="53"/>
      <c r="J118" s="53"/>
      <c r="K118" s="53"/>
      <c r="L118" s="53"/>
      <c r="M118" s="53"/>
      <c r="X118" s="57"/>
      <c r="Y118" s="50"/>
    </row>
    <row r="119" spans="7:25" ht="12.75">
      <c r="G119" s="53"/>
      <c r="H119" s="53"/>
      <c r="I119" s="53"/>
      <c r="J119" s="53"/>
      <c r="K119" s="53"/>
      <c r="L119" s="53"/>
      <c r="M119" s="53"/>
      <c r="X119" s="57"/>
      <c r="Y119" s="50"/>
    </row>
    <row r="120" spans="7:25" ht="12.75">
      <c r="G120" s="53"/>
      <c r="H120" s="53"/>
      <c r="I120" s="53"/>
      <c r="J120" s="53"/>
      <c r="K120" s="53"/>
      <c r="L120" s="53"/>
      <c r="M120" s="53"/>
      <c r="X120" s="57"/>
      <c r="Y120" s="50"/>
    </row>
    <row r="121" spans="7:25" ht="12.75">
      <c r="G121" s="53"/>
      <c r="H121" s="53"/>
      <c r="I121" s="53"/>
      <c r="J121" s="53"/>
      <c r="K121" s="53"/>
      <c r="L121" s="53"/>
      <c r="M121" s="53"/>
      <c r="X121" s="57"/>
      <c r="Y121" s="50"/>
    </row>
    <row r="122" spans="7:25" ht="12.75">
      <c r="G122" s="53"/>
      <c r="H122" s="53"/>
      <c r="I122" s="53"/>
      <c r="J122" s="53"/>
      <c r="K122" s="53"/>
      <c r="L122" s="53"/>
      <c r="M122" s="53"/>
      <c r="X122" s="57"/>
      <c r="Y122" s="50"/>
    </row>
    <row r="123" spans="7:24" ht="12.75">
      <c r="G123" s="53"/>
      <c r="H123" s="53"/>
      <c r="I123" s="53"/>
      <c r="J123" s="53"/>
      <c r="K123" s="53"/>
      <c r="L123" s="53"/>
      <c r="M123" s="53"/>
      <c r="X123" s="57"/>
    </row>
    <row r="124" spans="7:24" ht="12.75">
      <c r="G124" s="53"/>
      <c r="H124" s="53"/>
      <c r="I124" s="53"/>
      <c r="J124" s="53"/>
      <c r="K124" s="53"/>
      <c r="L124" s="53"/>
      <c r="M124" s="53"/>
      <c r="X124" s="57"/>
    </row>
    <row r="125" spans="7:24" ht="12.75">
      <c r="G125" s="53"/>
      <c r="H125" s="53"/>
      <c r="I125" s="53"/>
      <c r="J125" s="53"/>
      <c r="K125" s="53"/>
      <c r="L125" s="53"/>
      <c r="M125" s="53"/>
      <c r="X125" s="57"/>
    </row>
    <row r="126" spans="7:24" ht="12.75">
      <c r="G126" s="53"/>
      <c r="H126" s="53"/>
      <c r="I126" s="53"/>
      <c r="J126" s="53"/>
      <c r="K126" s="53"/>
      <c r="L126" s="53"/>
      <c r="M126" s="53"/>
      <c r="X126" s="57"/>
    </row>
    <row r="127" spans="7:24" ht="12.75">
      <c r="G127" s="53"/>
      <c r="H127" s="53"/>
      <c r="I127" s="53"/>
      <c r="J127" s="53"/>
      <c r="K127" s="53"/>
      <c r="L127" s="53"/>
      <c r="M127" s="53"/>
      <c r="X127" s="57"/>
    </row>
    <row r="128" spans="7:24" ht="12.75">
      <c r="G128" s="53"/>
      <c r="H128" s="53"/>
      <c r="I128" s="53"/>
      <c r="J128" s="53"/>
      <c r="K128" s="53"/>
      <c r="L128" s="53"/>
      <c r="M128" s="53"/>
      <c r="X128" s="57"/>
    </row>
    <row r="129" spans="7:13" ht="12.75">
      <c r="G129" s="53"/>
      <c r="H129" s="53"/>
      <c r="I129" s="53"/>
      <c r="J129" s="53"/>
      <c r="K129" s="53"/>
      <c r="L129" s="53"/>
      <c r="M129" s="53"/>
    </row>
    <row r="130" spans="7:13" ht="12.75">
      <c r="G130" s="53"/>
      <c r="H130" s="53"/>
      <c r="I130" s="53"/>
      <c r="J130" s="53"/>
      <c r="K130" s="53"/>
      <c r="L130" s="53"/>
      <c r="M130" s="53"/>
    </row>
    <row r="131" spans="7:13" ht="12.75">
      <c r="G131" s="53"/>
      <c r="H131" s="53"/>
      <c r="I131" s="53"/>
      <c r="J131" s="53"/>
      <c r="K131" s="53"/>
      <c r="L131" s="53"/>
      <c r="M131" s="53"/>
    </row>
    <row r="132" spans="7:13" ht="12.75">
      <c r="G132" s="53"/>
      <c r="H132" s="53"/>
      <c r="I132" s="53"/>
      <c r="J132" s="53"/>
      <c r="K132" s="53"/>
      <c r="L132" s="53"/>
      <c r="M132" s="53"/>
    </row>
    <row r="133" spans="7:13" ht="12.75">
      <c r="G133" s="53"/>
      <c r="H133" s="53"/>
      <c r="I133" s="53"/>
      <c r="J133" s="53"/>
      <c r="K133" s="53"/>
      <c r="L133" s="53"/>
      <c r="M133" s="53"/>
    </row>
    <row r="134" spans="7:13" ht="12.75">
      <c r="G134" s="53"/>
      <c r="H134" s="53"/>
      <c r="I134" s="53"/>
      <c r="J134" s="53"/>
      <c r="K134" s="53"/>
      <c r="L134" s="53"/>
      <c r="M134" s="53"/>
    </row>
    <row r="135" spans="7:13" ht="12.75">
      <c r="G135" s="53"/>
      <c r="H135" s="53"/>
      <c r="I135" s="53"/>
      <c r="J135" s="53"/>
      <c r="K135" s="53"/>
      <c r="L135" s="53"/>
      <c r="M135" s="53"/>
    </row>
    <row r="136" spans="7:13" ht="12.75">
      <c r="G136" s="53"/>
      <c r="H136" s="53"/>
      <c r="I136" s="53"/>
      <c r="J136" s="53"/>
      <c r="K136" s="53"/>
      <c r="L136" s="53"/>
      <c r="M136" s="53"/>
    </row>
    <row r="137" spans="7:13" ht="12.75">
      <c r="G137" s="53"/>
      <c r="H137" s="53"/>
      <c r="I137" s="53"/>
      <c r="J137" s="53"/>
      <c r="K137" s="53"/>
      <c r="L137" s="53"/>
      <c r="M137" s="53"/>
    </row>
    <row r="138" spans="7:13" ht="12.75">
      <c r="G138" s="53"/>
      <c r="H138" s="53"/>
      <c r="I138" s="53"/>
      <c r="J138" s="53"/>
      <c r="K138" s="53"/>
      <c r="L138" s="53"/>
      <c r="M138" s="53"/>
    </row>
    <row r="139" spans="7:13" ht="12.75">
      <c r="G139" s="53"/>
      <c r="H139" s="53"/>
      <c r="I139" s="53"/>
      <c r="J139" s="53"/>
      <c r="K139" s="53"/>
      <c r="L139" s="53"/>
      <c r="M139" s="53"/>
    </row>
    <row r="140" spans="7:13" ht="12.75">
      <c r="G140" s="53"/>
      <c r="H140" s="53"/>
      <c r="I140" s="53"/>
      <c r="J140" s="53"/>
      <c r="K140" s="53"/>
      <c r="L140" s="53"/>
      <c r="M140" s="53"/>
    </row>
    <row r="141" spans="7:13" ht="12.75">
      <c r="G141" s="53"/>
      <c r="H141" s="53"/>
      <c r="I141" s="53"/>
      <c r="J141" s="53"/>
      <c r="K141" s="53"/>
      <c r="L141" s="53"/>
      <c r="M141" s="53"/>
    </row>
    <row r="142" spans="7:13" ht="12.75">
      <c r="G142" s="53"/>
      <c r="H142" s="53"/>
      <c r="I142" s="53"/>
      <c r="J142" s="53"/>
      <c r="K142" s="53"/>
      <c r="L142" s="53"/>
      <c r="M142" s="53"/>
    </row>
    <row r="143" spans="7:13" ht="12.75">
      <c r="G143" s="53"/>
      <c r="H143" s="53"/>
      <c r="I143" s="53"/>
      <c r="J143" s="53"/>
      <c r="K143" s="53"/>
      <c r="L143" s="53"/>
      <c r="M143" s="53"/>
    </row>
    <row r="144" spans="7:13" ht="12.75">
      <c r="G144" s="53"/>
      <c r="H144" s="53"/>
      <c r="I144" s="53"/>
      <c r="J144" s="53"/>
      <c r="K144" s="53"/>
      <c r="L144" s="53"/>
      <c r="M144" s="53"/>
    </row>
    <row r="145" spans="7:13" ht="12.75">
      <c r="G145" s="53"/>
      <c r="H145" s="53"/>
      <c r="I145" s="53"/>
      <c r="J145" s="53"/>
      <c r="K145" s="53"/>
      <c r="L145" s="53"/>
      <c r="M145" s="53"/>
    </row>
    <row r="146" spans="7:13" ht="12.75">
      <c r="G146" s="53"/>
      <c r="H146" s="53"/>
      <c r="I146" s="53"/>
      <c r="J146" s="53"/>
      <c r="K146" s="53"/>
      <c r="L146" s="53"/>
      <c r="M146" s="53"/>
    </row>
    <row r="147" spans="7:13" ht="12.75">
      <c r="G147" s="53"/>
      <c r="H147" s="53"/>
      <c r="I147" s="53"/>
      <c r="J147" s="53"/>
      <c r="K147" s="53"/>
      <c r="L147" s="53"/>
      <c r="M147" s="53"/>
    </row>
    <row r="148" spans="7:13" ht="12.75">
      <c r="G148" s="53"/>
      <c r="H148" s="53"/>
      <c r="I148" s="53"/>
      <c r="J148" s="53"/>
      <c r="K148" s="53"/>
      <c r="L148" s="53"/>
      <c r="M148" s="53"/>
    </row>
    <row r="149" spans="7:13" ht="12.75">
      <c r="G149" s="53"/>
      <c r="H149" s="53"/>
      <c r="I149" s="53"/>
      <c r="J149" s="53"/>
      <c r="K149" s="53"/>
      <c r="L149" s="53"/>
      <c r="M149" s="53"/>
    </row>
    <row r="150" spans="7:13" ht="12.75">
      <c r="G150" s="53"/>
      <c r="H150" s="53"/>
      <c r="I150" s="53"/>
      <c r="J150" s="53"/>
      <c r="K150" s="53"/>
      <c r="L150" s="53"/>
      <c r="M150" s="53"/>
    </row>
    <row r="151" spans="7:13" ht="12.75">
      <c r="G151" s="53"/>
      <c r="H151" s="53"/>
      <c r="I151" s="53"/>
      <c r="J151" s="53"/>
      <c r="K151" s="53"/>
      <c r="L151" s="53"/>
      <c r="M151" s="53"/>
    </row>
    <row r="152" spans="7:13" ht="12.75">
      <c r="G152" s="53"/>
      <c r="H152" s="53"/>
      <c r="I152" s="53"/>
      <c r="J152" s="53"/>
      <c r="K152" s="53"/>
      <c r="L152" s="53"/>
      <c r="M152" s="53"/>
    </row>
    <row r="153" spans="7:13" ht="12.75">
      <c r="G153" s="53"/>
      <c r="H153" s="53"/>
      <c r="I153" s="53"/>
      <c r="J153" s="53"/>
      <c r="K153" s="53"/>
      <c r="L153" s="53"/>
      <c r="M153" s="53"/>
    </row>
    <row r="154" spans="7:13" ht="12.75">
      <c r="G154" s="53"/>
      <c r="H154" s="53"/>
      <c r="I154" s="53"/>
      <c r="J154" s="53"/>
      <c r="K154" s="53"/>
      <c r="L154" s="53"/>
      <c r="M154" s="53"/>
    </row>
    <row r="155" spans="7:13" ht="12.75">
      <c r="G155" s="53"/>
      <c r="H155" s="53"/>
      <c r="I155" s="53"/>
      <c r="J155" s="53"/>
      <c r="K155" s="53"/>
      <c r="L155" s="53"/>
      <c r="M155" s="53"/>
    </row>
    <row r="156" spans="7:13" ht="12.75">
      <c r="G156" s="53"/>
      <c r="H156" s="53"/>
      <c r="I156" s="53"/>
      <c r="J156" s="53"/>
      <c r="K156" s="53"/>
      <c r="L156" s="53"/>
      <c r="M156" s="53"/>
    </row>
    <row r="157" spans="7:13" ht="12.75">
      <c r="G157" s="53"/>
      <c r="H157" s="53"/>
      <c r="I157" s="53"/>
      <c r="J157" s="53"/>
      <c r="K157" s="53"/>
      <c r="L157" s="53"/>
      <c r="M157" s="53"/>
    </row>
    <row r="158" spans="7:13" ht="12.75">
      <c r="G158" s="53"/>
      <c r="H158" s="53"/>
      <c r="I158" s="53"/>
      <c r="J158" s="53"/>
      <c r="K158" s="53"/>
      <c r="L158" s="53"/>
      <c r="M158" s="53"/>
    </row>
    <row r="159" spans="7:13" ht="12.75">
      <c r="G159" s="53"/>
      <c r="H159" s="53"/>
      <c r="I159" s="53"/>
      <c r="J159" s="53"/>
      <c r="K159" s="53"/>
      <c r="L159" s="53"/>
      <c r="M159" s="53"/>
    </row>
    <row r="160" spans="7:13" ht="12.75">
      <c r="G160" s="53"/>
      <c r="H160" s="53"/>
      <c r="I160" s="53"/>
      <c r="J160" s="53"/>
      <c r="K160" s="53"/>
      <c r="L160" s="53"/>
      <c r="M160" s="53"/>
    </row>
    <row r="161" spans="7:13" ht="12.75">
      <c r="G161" s="53"/>
      <c r="H161" s="53"/>
      <c r="I161" s="53"/>
      <c r="J161" s="53"/>
      <c r="K161" s="53"/>
      <c r="L161" s="53"/>
      <c r="M161" s="53"/>
    </row>
    <row r="162" spans="7:13" ht="12.75">
      <c r="G162" s="53"/>
      <c r="H162" s="53"/>
      <c r="I162" s="53"/>
      <c r="J162" s="53"/>
      <c r="K162" s="53"/>
      <c r="L162" s="53"/>
      <c r="M162" s="53"/>
    </row>
    <row r="163" spans="7:13" ht="12.75">
      <c r="G163" s="53"/>
      <c r="H163" s="53"/>
      <c r="I163" s="53"/>
      <c r="J163" s="53"/>
      <c r="K163" s="53"/>
      <c r="L163" s="53"/>
      <c r="M163" s="53"/>
    </row>
    <row r="164" spans="7:13" ht="12.75">
      <c r="G164" s="53"/>
      <c r="H164" s="53"/>
      <c r="I164" s="53"/>
      <c r="J164" s="53"/>
      <c r="K164" s="53"/>
      <c r="L164" s="53"/>
      <c r="M164" s="53"/>
    </row>
    <row r="165" spans="7:13" ht="12.75">
      <c r="G165" s="53"/>
      <c r="H165" s="53"/>
      <c r="I165" s="53"/>
      <c r="J165" s="53"/>
      <c r="K165" s="53"/>
      <c r="L165" s="53"/>
      <c r="M165" s="53"/>
    </row>
    <row r="166" spans="7:13" ht="12.75">
      <c r="G166" s="53"/>
      <c r="H166" s="53"/>
      <c r="I166" s="53"/>
      <c r="J166" s="53"/>
      <c r="K166" s="53"/>
      <c r="L166" s="53"/>
      <c r="M166" s="53"/>
    </row>
    <row r="167" spans="7:13" ht="12.75">
      <c r="G167" s="53"/>
      <c r="H167" s="53"/>
      <c r="I167" s="53"/>
      <c r="J167" s="53"/>
      <c r="K167" s="53"/>
      <c r="L167" s="53"/>
      <c r="M167" s="53"/>
    </row>
    <row r="168" spans="7:13" ht="12.75">
      <c r="G168" s="53"/>
      <c r="H168" s="53"/>
      <c r="I168" s="53"/>
      <c r="J168" s="53"/>
      <c r="K168" s="53"/>
      <c r="L168" s="53"/>
      <c r="M168" s="53"/>
    </row>
    <row r="169" spans="7:13" ht="12.75">
      <c r="G169" s="53"/>
      <c r="H169" s="53"/>
      <c r="I169" s="53"/>
      <c r="J169" s="53"/>
      <c r="K169" s="53"/>
      <c r="L169" s="53"/>
      <c r="M169" s="53"/>
    </row>
    <row r="170" spans="7:13" ht="12.75">
      <c r="G170" s="53"/>
      <c r="H170" s="53"/>
      <c r="I170" s="53"/>
      <c r="J170" s="53"/>
      <c r="K170" s="53"/>
      <c r="L170" s="53"/>
      <c r="M170" s="53"/>
    </row>
    <row r="171" spans="7:13" ht="12.75">
      <c r="G171" s="53"/>
      <c r="H171" s="53"/>
      <c r="I171" s="53"/>
      <c r="J171" s="53"/>
      <c r="K171" s="53"/>
      <c r="L171" s="53"/>
      <c r="M171" s="53"/>
    </row>
    <row r="172" spans="7:13" ht="12.75">
      <c r="G172" s="53"/>
      <c r="H172" s="53"/>
      <c r="I172" s="53"/>
      <c r="J172" s="53"/>
      <c r="K172" s="53"/>
      <c r="L172" s="53"/>
      <c r="M172" s="53"/>
    </row>
    <row r="173" spans="7:13" ht="12.75">
      <c r="G173" s="53"/>
      <c r="H173" s="53"/>
      <c r="I173" s="53"/>
      <c r="J173" s="53"/>
      <c r="K173" s="53"/>
      <c r="L173" s="53"/>
      <c r="M173" s="53"/>
    </row>
    <row r="174" spans="7:13" ht="12.75">
      <c r="G174" s="53"/>
      <c r="H174" s="53"/>
      <c r="I174" s="53"/>
      <c r="J174" s="53"/>
      <c r="K174" s="53"/>
      <c r="L174" s="53"/>
      <c r="M174" s="53"/>
    </row>
    <row r="175" spans="7:13" ht="12.75">
      <c r="G175" s="53"/>
      <c r="H175" s="53"/>
      <c r="I175" s="53"/>
      <c r="J175" s="53"/>
      <c r="K175" s="53"/>
      <c r="L175" s="53"/>
      <c r="M175" s="53"/>
    </row>
    <row r="176" spans="7:13" ht="12.75">
      <c r="G176" s="53"/>
      <c r="H176" s="53"/>
      <c r="I176" s="53"/>
      <c r="J176" s="53"/>
      <c r="K176" s="53"/>
      <c r="L176" s="53"/>
      <c r="M176" s="53"/>
    </row>
    <row r="177" spans="7:13" ht="12.75">
      <c r="G177" s="53"/>
      <c r="H177" s="53"/>
      <c r="I177" s="53"/>
      <c r="J177" s="53"/>
      <c r="K177" s="53"/>
      <c r="L177" s="53"/>
      <c r="M177" s="53"/>
    </row>
    <row r="178" spans="7:13" ht="12.75">
      <c r="G178" s="53"/>
      <c r="H178" s="53"/>
      <c r="I178" s="53"/>
      <c r="J178" s="53"/>
      <c r="K178" s="53"/>
      <c r="L178" s="53"/>
      <c r="M178" s="53"/>
    </row>
    <row r="179" spans="7:13" ht="12.75">
      <c r="G179" s="53"/>
      <c r="H179" s="53"/>
      <c r="I179" s="53"/>
      <c r="J179" s="53"/>
      <c r="K179" s="53"/>
      <c r="L179" s="53"/>
      <c r="M179" s="53"/>
    </row>
    <row r="180" spans="7:13" ht="12.75">
      <c r="G180" s="53"/>
      <c r="H180" s="53"/>
      <c r="I180" s="53"/>
      <c r="J180" s="53"/>
      <c r="K180" s="53"/>
      <c r="L180" s="53"/>
      <c r="M180" s="53"/>
    </row>
    <row r="181" spans="7:13" ht="12.75">
      <c r="G181" s="53"/>
      <c r="H181" s="53"/>
      <c r="I181" s="53"/>
      <c r="J181" s="53"/>
      <c r="K181" s="53"/>
      <c r="L181" s="53"/>
      <c r="M181" s="53"/>
    </row>
    <row r="182" spans="7:13" ht="12.75">
      <c r="G182" s="53"/>
      <c r="H182" s="53"/>
      <c r="I182" s="53"/>
      <c r="J182" s="53"/>
      <c r="K182" s="53"/>
      <c r="L182" s="53"/>
      <c r="M182" s="53"/>
    </row>
    <row r="183" spans="7:13" ht="12.75">
      <c r="G183" s="53"/>
      <c r="H183" s="53"/>
      <c r="I183" s="53"/>
      <c r="J183" s="53"/>
      <c r="K183" s="53"/>
      <c r="L183" s="53"/>
      <c r="M183" s="53"/>
    </row>
    <row r="184" spans="7:13" ht="12.75">
      <c r="G184" s="53"/>
      <c r="H184" s="53"/>
      <c r="I184" s="53"/>
      <c r="J184" s="53"/>
      <c r="K184" s="53"/>
      <c r="L184" s="53"/>
      <c r="M184" s="53"/>
    </row>
    <row r="185" spans="7:13" ht="12.75">
      <c r="G185" s="53"/>
      <c r="H185" s="53"/>
      <c r="I185" s="53"/>
      <c r="J185" s="53"/>
      <c r="K185" s="53"/>
      <c r="L185" s="53"/>
      <c r="M185" s="53"/>
    </row>
    <row r="186" spans="7:13" ht="12.75">
      <c r="G186" s="53"/>
      <c r="H186" s="53"/>
      <c r="I186" s="53"/>
      <c r="J186" s="53"/>
      <c r="K186" s="53"/>
      <c r="L186" s="53"/>
      <c r="M186" s="53"/>
    </row>
    <row r="187" spans="7:13" ht="12.75">
      <c r="G187" s="53"/>
      <c r="H187" s="53"/>
      <c r="I187" s="53"/>
      <c r="J187" s="53"/>
      <c r="K187" s="53"/>
      <c r="L187" s="53"/>
      <c r="M187" s="53"/>
    </row>
    <row r="188" spans="7:13" ht="12.75">
      <c r="G188" s="53"/>
      <c r="H188" s="53"/>
      <c r="I188" s="53"/>
      <c r="J188" s="53"/>
      <c r="K188" s="53"/>
      <c r="L188" s="53"/>
      <c r="M188" s="53"/>
    </row>
    <row r="189" spans="7:13" ht="12.75">
      <c r="G189" s="53"/>
      <c r="H189" s="53"/>
      <c r="I189" s="53"/>
      <c r="J189" s="53"/>
      <c r="K189" s="53"/>
      <c r="L189" s="53"/>
      <c r="M189" s="53"/>
    </row>
    <row r="190" spans="7:13" ht="12.75">
      <c r="G190" s="53"/>
      <c r="H190" s="53"/>
      <c r="I190" s="53"/>
      <c r="J190" s="53"/>
      <c r="K190" s="53"/>
      <c r="L190" s="53"/>
      <c r="M190" s="53"/>
    </row>
    <row r="191" spans="7:13" ht="12.75">
      <c r="G191" s="53"/>
      <c r="H191" s="53"/>
      <c r="I191" s="53"/>
      <c r="J191" s="53"/>
      <c r="K191" s="53"/>
      <c r="L191" s="53"/>
      <c r="M191" s="53"/>
    </row>
    <row r="192" spans="7:13" ht="12.75">
      <c r="G192" s="53"/>
      <c r="H192" s="53"/>
      <c r="I192" s="53"/>
      <c r="J192" s="53"/>
      <c r="K192" s="53"/>
      <c r="L192" s="53"/>
      <c r="M192" s="53"/>
    </row>
    <row r="193" spans="7:13" ht="12.75">
      <c r="G193" s="53"/>
      <c r="H193" s="53"/>
      <c r="I193" s="53"/>
      <c r="J193" s="53"/>
      <c r="K193" s="53"/>
      <c r="L193" s="53"/>
      <c r="M193" s="53"/>
    </row>
    <row r="194" spans="7:13" ht="12.75">
      <c r="G194" s="53"/>
      <c r="H194" s="53"/>
      <c r="I194" s="53"/>
      <c r="J194" s="53"/>
      <c r="K194" s="53"/>
      <c r="L194" s="53"/>
      <c r="M194" s="53"/>
    </row>
    <row r="195" spans="7:13" ht="12.75">
      <c r="G195" s="53"/>
      <c r="H195" s="53"/>
      <c r="I195" s="53"/>
      <c r="J195" s="53"/>
      <c r="K195" s="53"/>
      <c r="L195" s="53"/>
      <c r="M195" s="53"/>
    </row>
    <row r="196" spans="7:13" ht="12.75">
      <c r="G196" s="53"/>
      <c r="H196" s="53"/>
      <c r="I196" s="53"/>
      <c r="J196" s="53"/>
      <c r="K196" s="53"/>
      <c r="L196" s="53"/>
      <c r="M196" s="53"/>
    </row>
    <row r="197" spans="7:13" ht="12.75">
      <c r="G197" s="53"/>
      <c r="H197" s="53"/>
      <c r="I197" s="53"/>
      <c r="J197" s="53"/>
      <c r="K197" s="53"/>
      <c r="L197" s="53"/>
      <c r="M197" s="53"/>
    </row>
    <row r="198" spans="7:13" ht="12.75">
      <c r="G198" s="53"/>
      <c r="H198" s="53"/>
      <c r="I198" s="53"/>
      <c r="J198" s="53"/>
      <c r="K198" s="53"/>
      <c r="L198" s="53"/>
      <c r="M198" s="53"/>
    </row>
    <row r="199" spans="7:13" ht="12.75">
      <c r="G199" s="53"/>
      <c r="H199" s="53"/>
      <c r="I199" s="53"/>
      <c r="J199" s="53"/>
      <c r="K199" s="53"/>
      <c r="L199" s="53"/>
      <c r="M199" s="53"/>
    </row>
    <row r="200" spans="7:13" ht="12.75">
      <c r="G200" s="53"/>
      <c r="H200" s="53"/>
      <c r="I200" s="53"/>
      <c r="J200" s="53"/>
      <c r="K200" s="53"/>
      <c r="L200" s="53"/>
      <c r="M200" s="53"/>
    </row>
    <row r="201" spans="7:13" ht="12.75">
      <c r="G201" s="53"/>
      <c r="H201" s="53"/>
      <c r="I201" s="53"/>
      <c r="J201" s="53"/>
      <c r="K201" s="53"/>
      <c r="L201" s="53"/>
      <c r="M201" s="53"/>
    </row>
    <row r="202" spans="7:13" ht="12.75">
      <c r="G202" s="53"/>
      <c r="H202" s="53"/>
      <c r="I202" s="53"/>
      <c r="J202" s="53"/>
      <c r="K202" s="53"/>
      <c r="L202" s="53"/>
      <c r="M202" s="53"/>
    </row>
    <row r="203" spans="7:13" ht="12.75">
      <c r="G203" s="53"/>
      <c r="H203" s="53"/>
      <c r="I203" s="53"/>
      <c r="J203" s="53"/>
      <c r="K203" s="53"/>
      <c r="L203" s="53"/>
      <c r="M203" s="53"/>
    </row>
    <row r="204" spans="7:13" ht="12.75">
      <c r="G204" s="53"/>
      <c r="H204" s="53"/>
      <c r="I204" s="53"/>
      <c r="J204" s="53"/>
      <c r="K204" s="53"/>
      <c r="L204" s="53"/>
      <c r="M204" s="53"/>
    </row>
  </sheetData>
  <sheetProtection sheet="1" objects="1" scenarios="1"/>
  <mergeCells count="34">
    <mergeCell ref="B1:D1"/>
    <mergeCell ref="F1:G1"/>
    <mergeCell ref="C43:D43"/>
    <mergeCell ref="C45:D45"/>
    <mergeCell ref="C33:D33"/>
    <mergeCell ref="C34:D34"/>
    <mergeCell ref="C35:D35"/>
    <mergeCell ref="C36:D36"/>
    <mergeCell ref="C27:D27"/>
    <mergeCell ref="C28:D28"/>
    <mergeCell ref="C46:D46"/>
    <mergeCell ref="C47:D47"/>
    <mergeCell ref="C48:D48"/>
    <mergeCell ref="C39:D39"/>
    <mergeCell ref="C40:D40"/>
    <mergeCell ref="C41:D41"/>
    <mergeCell ref="C42:D42"/>
    <mergeCell ref="C29:D29"/>
    <mergeCell ref="C30:D30"/>
    <mergeCell ref="C14:D14"/>
    <mergeCell ref="C15:D15"/>
    <mergeCell ref="C17:D17"/>
    <mergeCell ref="C21:D21"/>
    <mergeCell ref="C19:D19"/>
    <mergeCell ref="C10:D10"/>
    <mergeCell ref="C11:D11"/>
    <mergeCell ref="C12:D12"/>
    <mergeCell ref="C13:D13"/>
    <mergeCell ref="C7:D7"/>
    <mergeCell ref="C8:D8"/>
    <mergeCell ref="C3:D3"/>
    <mergeCell ref="C4:D4"/>
    <mergeCell ref="C5:D5"/>
    <mergeCell ref="C6:D6"/>
  </mergeCells>
  <printOptions/>
  <pageMargins left="0.44" right="0.5" top="0.88" bottom="0.15748031496062992" header="0.1968503937007874" footer="0.275590551181102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BH151"/>
  <sheetViews>
    <sheetView workbookViewId="0" topLeftCell="A32">
      <selection activeCell="G70" sqref="G70"/>
    </sheetView>
  </sheetViews>
  <sheetFormatPr defaultColWidth="11.421875" defaultRowHeight="12.75"/>
  <cols>
    <col min="1" max="4" width="1.421875" style="0" customWidth="1"/>
    <col min="5" max="5" width="29.140625" style="0" customWidth="1"/>
    <col min="6" max="6" width="11.8515625" style="0" customWidth="1"/>
    <col min="7" max="7" width="8.8515625" style="0" customWidth="1"/>
    <col min="8" max="8" width="12.00390625" style="0" customWidth="1"/>
    <col min="9" max="9" width="10.57421875" style="0" customWidth="1"/>
    <col min="10" max="10" width="12.421875" style="0" customWidth="1"/>
    <col min="11" max="58" width="10.57421875" style="0" customWidth="1"/>
  </cols>
  <sheetData>
    <row r="1" spans="5:14" s="20" customFormat="1" ht="25.5" customHeight="1" thickBot="1">
      <c r="E1" s="89" t="s">
        <v>24</v>
      </c>
      <c r="F1" s="70">
        <f>SQRT(MAX($F$58:$BF$58))</f>
        <v>0.5214320935530439</v>
      </c>
      <c r="G1" s="72">
        <f>SQRT(MAX($F$59:$BF$59))</f>
        <v>0.3665078064461794</v>
      </c>
      <c r="H1" s="69" t="s">
        <v>26</v>
      </c>
      <c r="I1" s="24" t="s">
        <v>36</v>
      </c>
      <c r="J1" s="36"/>
      <c r="K1" s="73"/>
      <c r="L1" s="125" t="str">
        <f>'Eingabe u. Ergebnisse'!C4</f>
        <v>Methylnaphtalin</v>
      </c>
      <c r="M1" s="126"/>
      <c r="N1" s="24" t="str">
        <f>'Eingabe u. Ergebnisse'!C11</f>
        <v>Glycerin</v>
      </c>
    </row>
    <row r="2" spans="5:16" s="20" customFormat="1" ht="27" customHeight="1" thickBot="1">
      <c r="E2" s="91" t="s">
        <v>22</v>
      </c>
      <c r="F2" s="70">
        <f>SQRT(MAX($F$60:$BF$60))</f>
        <v>0.30847923440092356</v>
      </c>
      <c r="G2" s="74"/>
      <c r="H2" s="92">
        <f>BH18</f>
        <v>0.038182521438354496</v>
      </c>
      <c r="I2" s="23" t="str">
        <f>IF('Eingabe u. Ergebnisse'!C19=0,"16:9","21:9")</f>
        <v>16:9</v>
      </c>
      <c r="J2" s="38"/>
      <c r="K2" s="73"/>
      <c r="L2" s="74"/>
      <c r="M2" s="75"/>
      <c r="N2" s="74"/>
      <c r="P2" s="21"/>
    </row>
    <row r="3" spans="5:16" s="20" customFormat="1" ht="39" thickBot="1">
      <c r="E3" s="90" t="s">
        <v>117</v>
      </c>
      <c r="F3" s="70">
        <f>SQRT(MAX($F$49:$BF$49))*$F$64*1000*$F$5</f>
        <v>6.164946401706124</v>
      </c>
      <c r="G3" s="37"/>
      <c r="H3" s="86"/>
      <c r="I3" s="68">
        <f>$J$65</f>
        <v>1.3185994799434144</v>
      </c>
      <c r="J3" s="24" t="s">
        <v>38</v>
      </c>
      <c r="K3" s="36"/>
      <c r="L3" s="42" t="s">
        <v>88</v>
      </c>
      <c r="M3" s="24">
        <f>'Eingabe u. Ergebnisse'!C21</f>
        <v>1</v>
      </c>
      <c r="N3" s="42" t="s">
        <v>87</v>
      </c>
      <c r="O3" s="24">
        <f>'Eingabe u. Ergebnisse'!C23</f>
        <v>-12</v>
      </c>
      <c r="P3" s="24">
        <f>'Eingabe u. Ergebnisse'!D23</f>
        <v>12</v>
      </c>
    </row>
    <row r="4" spans="5:60" s="20" customFormat="1" ht="33.75" customHeight="1" thickBot="1">
      <c r="E4" s="88" t="s">
        <v>106</v>
      </c>
      <c r="F4" s="71">
        <f>$F$3/$G$65*0.1</f>
        <v>0.3107549192655803</v>
      </c>
      <c r="G4" s="37"/>
      <c r="H4" s="87"/>
      <c r="I4" s="68">
        <f>$BH$17</f>
        <v>1.313565483962744</v>
      </c>
      <c r="J4" s="22" t="s">
        <v>37</v>
      </c>
      <c r="K4" s="36"/>
      <c r="L4" s="73"/>
      <c r="M4" s="73"/>
      <c r="N4" s="74"/>
      <c r="BG4" s="20" t="s">
        <v>34</v>
      </c>
      <c r="BH4" s="20">
        <f>BH6/BH12</f>
        <v>3.2845843445514066E-15</v>
      </c>
    </row>
    <row r="5" spans="5:60" ht="21" customHeight="1" thickBot="1">
      <c r="E5" s="93" t="s">
        <v>111</v>
      </c>
      <c r="F5" s="25">
        <f>PI()/180</f>
        <v>0.017453292519943295</v>
      </c>
      <c r="J5" s="39"/>
      <c r="K5" s="39"/>
      <c r="BF5">
        <f>COUNT(F6:BF6)</f>
        <v>53</v>
      </c>
      <c r="BG5" t="s">
        <v>35</v>
      </c>
      <c r="BH5">
        <f>BH9/BH12</f>
        <v>0.03818252143835881</v>
      </c>
    </row>
    <row r="6" spans="5:60" s="1" customFormat="1" ht="12.75">
      <c r="E6" s="1" t="s">
        <v>1</v>
      </c>
      <c r="F6" s="1">
        <f>O3</f>
        <v>-12</v>
      </c>
      <c r="G6" s="1">
        <f>($BF$6-$F$6)/52+F6</f>
        <v>-11.538461538461538</v>
      </c>
      <c r="H6" s="1">
        <f aca="true" t="shared" si="0" ref="H6:BE6">($BF$6-$F$6)/52+G6</f>
        <v>-11.076923076923077</v>
      </c>
      <c r="I6" s="1">
        <f t="shared" si="0"/>
        <v>-10.615384615384615</v>
      </c>
      <c r="J6" s="1">
        <f t="shared" si="0"/>
        <v>-10.153846153846153</v>
      </c>
      <c r="K6" s="1">
        <f t="shared" si="0"/>
        <v>-9.692307692307692</v>
      </c>
      <c r="L6" s="1">
        <f t="shared" si="0"/>
        <v>-9.23076923076923</v>
      </c>
      <c r="M6" s="1">
        <f t="shared" si="0"/>
        <v>-8.769230769230768</v>
      </c>
      <c r="N6" s="1">
        <f t="shared" si="0"/>
        <v>-8.307692307692307</v>
      </c>
      <c r="O6" s="1">
        <f t="shared" si="0"/>
        <v>-7.846153846153845</v>
      </c>
      <c r="P6" s="1">
        <f t="shared" si="0"/>
        <v>-7.384615384615383</v>
      </c>
      <c r="Q6" s="1">
        <f t="shared" si="0"/>
        <v>-6.923076923076922</v>
      </c>
      <c r="R6" s="1">
        <f t="shared" si="0"/>
        <v>-6.46153846153846</v>
      </c>
      <c r="S6" s="1">
        <f t="shared" si="0"/>
        <v>-5.999999999999998</v>
      </c>
      <c r="T6" s="1">
        <f t="shared" si="0"/>
        <v>-5.5384615384615365</v>
      </c>
      <c r="U6" s="1">
        <f t="shared" si="0"/>
        <v>-5.076923076923075</v>
      </c>
      <c r="V6" s="1">
        <f t="shared" si="0"/>
        <v>-4.615384615384613</v>
      </c>
      <c r="W6" s="1">
        <f t="shared" si="0"/>
        <v>-4.1538461538461515</v>
      </c>
      <c r="X6" s="1">
        <f t="shared" si="0"/>
        <v>-3.69230769230769</v>
      </c>
      <c r="Y6" s="1">
        <f t="shared" si="0"/>
        <v>-3.230769230769228</v>
      </c>
      <c r="Z6" s="1">
        <f t="shared" si="0"/>
        <v>-2.7692307692307665</v>
      </c>
      <c r="AA6" s="1">
        <f t="shared" si="0"/>
        <v>-2.307692307692305</v>
      </c>
      <c r="AB6" s="1">
        <f t="shared" si="0"/>
        <v>-1.8461538461538431</v>
      </c>
      <c r="AC6" s="1">
        <f t="shared" si="0"/>
        <v>-1.3846153846153815</v>
      </c>
      <c r="AD6" s="1">
        <f t="shared" si="0"/>
        <v>-0.9230769230769199</v>
      </c>
      <c r="AE6" s="1">
        <f t="shared" si="0"/>
        <v>-0.46153846153845834</v>
      </c>
      <c r="AF6" s="1">
        <f t="shared" si="0"/>
        <v>3.219646771412954E-15</v>
      </c>
      <c r="AG6" s="1">
        <f t="shared" si="0"/>
        <v>0.4615384615384648</v>
      </c>
      <c r="AH6" s="1">
        <f t="shared" si="0"/>
        <v>0.9230769230769263</v>
      </c>
      <c r="AI6" s="1">
        <f t="shared" si="0"/>
        <v>1.384615384615388</v>
      </c>
      <c r="AJ6" s="1">
        <f t="shared" si="0"/>
        <v>1.8461538461538494</v>
      </c>
      <c r="AK6" s="1">
        <f t="shared" si="0"/>
        <v>2.307692307692311</v>
      </c>
      <c r="AL6" s="1">
        <f t="shared" si="0"/>
        <v>2.7692307692307727</v>
      </c>
      <c r="AM6" s="1">
        <f t="shared" si="0"/>
        <v>3.2307692307692344</v>
      </c>
      <c r="AN6" s="1">
        <f t="shared" si="0"/>
        <v>3.692307692307696</v>
      </c>
      <c r="AO6" s="1">
        <f t="shared" si="0"/>
        <v>4.153846153846158</v>
      </c>
      <c r="AP6" s="1">
        <f t="shared" si="0"/>
        <v>4.615384615384619</v>
      </c>
      <c r="AQ6" s="1">
        <f t="shared" si="0"/>
        <v>5.076923076923081</v>
      </c>
      <c r="AR6" s="1">
        <f t="shared" si="0"/>
        <v>5.538461538461543</v>
      </c>
      <c r="AS6" s="1">
        <f t="shared" si="0"/>
        <v>6.000000000000004</v>
      </c>
      <c r="AT6" s="1">
        <f t="shared" si="0"/>
        <v>6.461538461538466</v>
      </c>
      <c r="AU6" s="1">
        <f t="shared" si="0"/>
        <v>6.923076923076928</v>
      </c>
      <c r="AV6" s="1">
        <f t="shared" si="0"/>
        <v>7.3846153846153895</v>
      </c>
      <c r="AW6" s="1">
        <f t="shared" si="0"/>
        <v>7.846153846153851</v>
      </c>
      <c r="AX6" s="1">
        <f t="shared" si="0"/>
        <v>8.307692307692312</v>
      </c>
      <c r="AY6" s="1">
        <f t="shared" si="0"/>
        <v>8.769230769230774</v>
      </c>
      <c r="AZ6" s="1">
        <f t="shared" si="0"/>
        <v>9.230769230769235</v>
      </c>
      <c r="BA6" s="1">
        <f t="shared" si="0"/>
        <v>9.692307692307697</v>
      </c>
      <c r="BB6" s="1">
        <f t="shared" si="0"/>
        <v>10.153846153846159</v>
      </c>
      <c r="BC6" s="1">
        <f t="shared" si="0"/>
        <v>10.61538461538462</v>
      </c>
      <c r="BD6" s="1">
        <f t="shared" si="0"/>
        <v>11.076923076923082</v>
      </c>
      <c r="BE6" s="1">
        <f t="shared" si="0"/>
        <v>11.538461538461544</v>
      </c>
      <c r="BF6" s="1">
        <f>P3</f>
        <v>12</v>
      </c>
      <c r="BG6" s="1" t="s">
        <v>27</v>
      </c>
      <c r="BH6" s="1">
        <f>SUM(F6:BF6)</f>
        <v>1.7408297026122455E-13</v>
      </c>
    </row>
    <row r="7" spans="5:21" ht="12.75">
      <c r="E7" t="s">
        <v>57</v>
      </c>
      <c r="F7" s="15">
        <f>'Eingabe u. Ergebnisse'!C30</f>
        <v>1</v>
      </c>
      <c r="G7">
        <f>-F7</f>
        <v>-1</v>
      </c>
      <c r="H7" s="15">
        <f>'Eingabe u. Ergebnisse'!C42</f>
        <v>1</v>
      </c>
      <c r="I7">
        <f>-H7</f>
        <v>-1</v>
      </c>
      <c r="J7" s="122" t="s">
        <v>59</v>
      </c>
      <c r="K7" s="123"/>
      <c r="L7" s="123"/>
      <c r="M7" s="124"/>
      <c r="N7" s="122" t="s">
        <v>56</v>
      </c>
      <c r="O7" s="123"/>
      <c r="P7" s="123"/>
      <c r="Q7" s="124"/>
      <c r="R7" s="122" t="s">
        <v>55</v>
      </c>
      <c r="S7" s="123"/>
      <c r="T7" s="123"/>
      <c r="U7" s="124"/>
    </row>
    <row r="8" spans="5:21" ht="13.5" thickBot="1">
      <c r="E8" t="s">
        <v>58</v>
      </c>
      <c r="F8">
        <f>'Eingabe u. Ergebnisse'!C28</f>
        <v>1</v>
      </c>
      <c r="G8">
        <f>IF(F8=2,1,2)</f>
        <v>2</v>
      </c>
      <c r="H8">
        <f>'Eingabe u. Ergebnisse'!C40</f>
        <v>2</v>
      </c>
      <c r="I8">
        <f>IF(H8=1,2,1)</f>
        <v>1</v>
      </c>
      <c r="J8" s="29">
        <f>IF(F8=1,$F$10,$G$10)</f>
        <v>1.61755</v>
      </c>
      <c r="K8" s="30">
        <f>IF(G8=1,$F$10,$G$10)</f>
        <v>1.47222</v>
      </c>
      <c r="L8" s="30">
        <f>IF(H8=1,$F$10,$G$10)</f>
        <v>1.47222</v>
      </c>
      <c r="M8" s="31">
        <f>IF(I8=1,$F$10,$G$10)</f>
        <v>1.61755</v>
      </c>
      <c r="N8" s="32">
        <f>IF(F8=1,$I$10,$J$10)</f>
        <v>1.6094</v>
      </c>
      <c r="O8" s="33">
        <f>IF(G8=1,$I$10,$J$10)</f>
        <v>1.46992</v>
      </c>
      <c r="P8" s="33">
        <f>IF(H8=1,$I$10,$J$10)</f>
        <v>1.46992</v>
      </c>
      <c r="Q8" s="34">
        <f>IF(I8=1,$I$10,$J$10)</f>
        <v>1.6094</v>
      </c>
      <c r="R8" s="29">
        <f>IF(F$8=1,$L$10,$M$10)</f>
        <v>1.63958</v>
      </c>
      <c r="S8" s="30">
        <f>IF(G$8=1,$L$10,$M$10)</f>
        <v>1.476835</v>
      </c>
      <c r="T8" s="30">
        <f>IF(H$8=1,$L$10,$M$10)</f>
        <v>1.476835</v>
      </c>
      <c r="U8" s="31">
        <f>IF(I$8=1,$L$10,$M$10)</f>
        <v>1.63958</v>
      </c>
    </row>
    <row r="9" spans="5:60" ht="13.5" thickBot="1">
      <c r="E9" t="s">
        <v>50</v>
      </c>
      <c r="F9" s="25">
        <f>'Eingabe u. Ergebnisse'!C29</f>
        <v>1</v>
      </c>
      <c r="G9">
        <f>($F$9+$F$11/2*(-$F$7)-$F$12/2*$G$7)</f>
        <v>12.25</v>
      </c>
      <c r="H9" s="25">
        <f>'Eingabe u. Ergebnisse'!C41</f>
        <v>-27.8</v>
      </c>
      <c r="I9">
        <f>($H$9+$F$13/2*(-$H$7)-$I$7*$F$14/2)</f>
        <v>-39.3</v>
      </c>
      <c r="J9" s="35" t="s">
        <v>60</v>
      </c>
      <c r="K9">
        <v>1.49775</v>
      </c>
      <c r="L9">
        <v>1.49552</v>
      </c>
      <c r="M9">
        <v>1.50296</v>
      </c>
      <c r="BG9" t="s">
        <v>28</v>
      </c>
      <c r="BH9" s="1">
        <f>SUM(F38:BF38)</f>
        <v>2.023673636233017</v>
      </c>
    </row>
    <row r="10" spans="5:60" ht="20.25" thickBot="1">
      <c r="E10" s="3" t="s">
        <v>4</v>
      </c>
      <c r="F10" s="17">
        <f>'Eingabe u. Ergebnisse'!C6</f>
        <v>1.61755</v>
      </c>
      <c r="G10">
        <f>'Eingabe u. Ergebnisse'!C13</f>
        <v>1.47222</v>
      </c>
      <c r="H10" s="3" t="s">
        <v>5</v>
      </c>
      <c r="I10" s="17">
        <f>'Eingabe u. Ergebnisse'!C7</f>
        <v>1.6094</v>
      </c>
      <c r="J10">
        <f>'Eingabe u. Ergebnisse'!C14</f>
        <v>1.46992</v>
      </c>
      <c r="K10" s="3" t="s">
        <v>6</v>
      </c>
      <c r="L10" s="17">
        <f>'Eingabe u. Ergebnisse'!C8</f>
        <v>1.63958</v>
      </c>
      <c r="M10">
        <f>'Eingabe u. Ergebnisse'!C15</f>
        <v>1.476835</v>
      </c>
      <c r="BG10" t="s">
        <v>29</v>
      </c>
      <c r="BH10">
        <f>BG74</f>
        <v>3470.2379216320383</v>
      </c>
    </row>
    <row r="11" spans="5:60" ht="12.75">
      <c r="E11" t="s">
        <v>2</v>
      </c>
      <c r="F11" s="26">
        <f>'Eingabe u. Ergebnisse'!C27</f>
        <v>7.4</v>
      </c>
      <c r="G11" s="1">
        <f>1/((L10-I10)/(F10-1))</f>
        <v>20.46222664015898</v>
      </c>
      <c r="H11" s="1">
        <f>1/((M10-J10)/(G10-1))</f>
        <v>68.28922631959506</v>
      </c>
      <c r="BG11" t="s">
        <v>30</v>
      </c>
      <c r="BH11">
        <f>BG73</f>
        <v>2641.8461538461547</v>
      </c>
    </row>
    <row r="12" spans="5:60" ht="12.75">
      <c r="E12" t="s">
        <v>3</v>
      </c>
      <c r="F12" s="27">
        <f>'Eingabe u. Ergebnisse'!C33</f>
        <v>29.9</v>
      </c>
      <c r="H12">
        <f>(I10-L10)/(J10-M10)</f>
        <v>4.364425162689816</v>
      </c>
      <c r="I12">
        <f>IF(F11&gt;F12,F11/$H$12,F12/$H$12)</f>
        <v>6.850844930417477</v>
      </c>
      <c r="BG12" t="s">
        <v>31</v>
      </c>
      <c r="BH12">
        <f>COUNT(F6:BF6)</f>
        <v>53</v>
      </c>
    </row>
    <row r="13" spans="5:9" ht="12.75">
      <c r="E13" t="s">
        <v>48</v>
      </c>
      <c r="F13" s="27">
        <f>'Eingabe u. Ergebnisse'!C39</f>
        <v>29</v>
      </c>
      <c r="I13">
        <f>IF(F13&gt;F14,F13/$H$12,F14/$H$12)</f>
        <v>6.644632206759426</v>
      </c>
    </row>
    <row r="14" spans="5:6" ht="13.5" thickBot="1">
      <c r="E14" t="s">
        <v>49</v>
      </c>
      <c r="F14" s="28">
        <f>'Eingabe u. Ergebnisse'!C45</f>
        <v>6</v>
      </c>
    </row>
    <row r="15" spans="5:58" s="1" customFormat="1" ht="12.75">
      <c r="E15" s="1" t="s">
        <v>0</v>
      </c>
      <c r="F15" s="1">
        <f>$F$7*($F$9+F$6)+$F$11/2</f>
        <v>-7.3</v>
      </c>
      <c r="G15" s="1">
        <f aca="true" t="shared" si="1" ref="G15:BF15">$F$7*($F$9+G$6)+$F$11/2</f>
        <v>-6.838461538461538</v>
      </c>
      <c r="H15" s="1">
        <f t="shared" si="1"/>
        <v>-6.3769230769230765</v>
      </c>
      <c r="I15" s="1">
        <f t="shared" si="1"/>
        <v>-5.915384615384615</v>
      </c>
      <c r="J15" s="1">
        <f t="shared" si="1"/>
        <v>-5.453846153846153</v>
      </c>
      <c r="K15" s="1">
        <f t="shared" si="1"/>
        <v>-4.9923076923076914</v>
      </c>
      <c r="L15" s="1">
        <f t="shared" si="1"/>
        <v>-4.53076923076923</v>
      </c>
      <c r="M15" s="1">
        <f t="shared" si="1"/>
        <v>-4.069230769230768</v>
      </c>
      <c r="N15" s="1">
        <f t="shared" si="1"/>
        <v>-3.6076923076923064</v>
      </c>
      <c r="O15" s="1">
        <f t="shared" si="1"/>
        <v>-3.1461538461538447</v>
      </c>
      <c r="P15" s="1">
        <f t="shared" si="1"/>
        <v>-2.684615384615383</v>
      </c>
      <c r="Q15" s="1">
        <f t="shared" si="1"/>
        <v>-2.2230769230769214</v>
      </c>
      <c r="R15" s="1">
        <f t="shared" si="1"/>
        <v>-1.7615384615384597</v>
      </c>
      <c r="S15" s="1">
        <f t="shared" si="1"/>
        <v>-1.299999999999998</v>
      </c>
      <c r="T15" s="1">
        <f t="shared" si="1"/>
        <v>-0.8384615384615364</v>
      </c>
      <c r="U15" s="1">
        <f t="shared" si="1"/>
        <v>-0.3769230769230747</v>
      </c>
      <c r="V15" s="1">
        <f t="shared" si="1"/>
        <v>0.08461538461538698</v>
      </c>
      <c r="W15" s="1">
        <f t="shared" si="1"/>
        <v>0.5461538461538487</v>
      </c>
      <c r="X15" s="1">
        <f t="shared" si="1"/>
        <v>1.0076923076923103</v>
      </c>
      <c r="Y15" s="1">
        <f t="shared" si="1"/>
        <v>1.469230769230772</v>
      </c>
      <c r="Z15" s="1">
        <f t="shared" si="1"/>
        <v>1.9307692307692337</v>
      </c>
      <c r="AA15" s="1">
        <f t="shared" si="1"/>
        <v>2.3923076923076954</v>
      </c>
      <c r="AB15" s="1">
        <f t="shared" si="1"/>
        <v>2.853846153846157</v>
      </c>
      <c r="AC15" s="1">
        <f t="shared" si="1"/>
        <v>3.3153846153846187</v>
      </c>
      <c r="AD15" s="1">
        <f t="shared" si="1"/>
        <v>3.7769230769230804</v>
      </c>
      <c r="AE15" s="1">
        <f t="shared" si="1"/>
        <v>4.238461538461542</v>
      </c>
      <c r="AF15" s="1">
        <f t="shared" si="1"/>
        <v>4.700000000000003</v>
      </c>
      <c r="AG15" s="1">
        <f t="shared" si="1"/>
        <v>5.1615384615384645</v>
      </c>
      <c r="AH15" s="1">
        <f t="shared" si="1"/>
        <v>5.623076923076926</v>
      </c>
      <c r="AI15" s="1">
        <f t="shared" si="1"/>
        <v>6.084615384615388</v>
      </c>
      <c r="AJ15" s="1">
        <f t="shared" si="1"/>
        <v>6.5461538461538495</v>
      </c>
      <c r="AK15" s="1">
        <f t="shared" si="1"/>
        <v>7.007692307692311</v>
      </c>
      <c r="AL15" s="1">
        <f t="shared" si="1"/>
        <v>7.469230769230773</v>
      </c>
      <c r="AM15" s="1">
        <f t="shared" si="1"/>
        <v>7.930769230769235</v>
      </c>
      <c r="AN15" s="1">
        <f t="shared" si="1"/>
        <v>8.392307692307696</v>
      </c>
      <c r="AO15" s="1">
        <f t="shared" si="1"/>
        <v>8.853846153846158</v>
      </c>
      <c r="AP15" s="1">
        <f t="shared" si="1"/>
        <v>9.31538461538462</v>
      </c>
      <c r="AQ15" s="1">
        <f t="shared" si="1"/>
        <v>9.776923076923081</v>
      </c>
      <c r="AR15" s="1">
        <f t="shared" si="1"/>
        <v>10.238461538461543</v>
      </c>
      <c r="AS15" s="1">
        <f t="shared" si="1"/>
        <v>10.700000000000005</v>
      </c>
      <c r="AT15" s="1">
        <f t="shared" si="1"/>
        <v>11.161538461538466</v>
      </c>
      <c r="AU15" s="1">
        <f t="shared" si="1"/>
        <v>11.623076923076928</v>
      </c>
      <c r="AV15" s="1">
        <f t="shared" si="1"/>
        <v>12.08461538461539</v>
      </c>
      <c r="AW15" s="1">
        <f t="shared" si="1"/>
        <v>12.54615384615385</v>
      </c>
      <c r="AX15" s="1">
        <f t="shared" si="1"/>
        <v>13.007692307692313</v>
      </c>
      <c r="AY15" s="1">
        <f t="shared" si="1"/>
        <v>13.469230769230773</v>
      </c>
      <c r="AZ15" s="1">
        <f t="shared" si="1"/>
        <v>13.930769230769236</v>
      </c>
      <c r="BA15" s="1">
        <f t="shared" si="1"/>
        <v>14.392307692307696</v>
      </c>
      <c r="BB15" s="1">
        <f t="shared" si="1"/>
        <v>14.85384615384616</v>
      </c>
      <c r="BC15" s="1">
        <f t="shared" si="1"/>
        <v>15.31538461538462</v>
      </c>
      <c r="BD15" s="1">
        <f t="shared" si="1"/>
        <v>15.776923076923083</v>
      </c>
      <c r="BE15" s="1">
        <f t="shared" si="1"/>
        <v>16.238461538461543</v>
      </c>
      <c r="BF15" s="1">
        <f t="shared" si="1"/>
        <v>16.7</v>
      </c>
    </row>
    <row r="16" spans="5:58" s="1" customFormat="1" ht="12.75">
      <c r="E16" s="1" t="s">
        <v>112</v>
      </c>
      <c r="F16" s="1">
        <f>(ASIN(SIN(F15*$F$5)/$J$8)/$F$5-$F$11/2)/$F$7-$F$9</f>
        <v>-9.205439735483033</v>
      </c>
      <c r="G16" s="1">
        <f aca="true" t="shared" si="2" ref="G16:Q16">(ASIN(SIN(G15*$F$5)/$J$8)/$F$5-$F$11/2)/$F$7-$F$9</f>
        <v>-8.92145431584709</v>
      </c>
      <c r="H16" s="1">
        <f t="shared" si="2"/>
        <v>-8.637298430689484</v>
      </c>
      <c r="I16" s="1">
        <f t="shared" si="2"/>
        <v>-8.35298370435526</v>
      </c>
      <c r="J16" s="1">
        <f t="shared" si="2"/>
        <v>-8.068521736183504</v>
      </c>
      <c r="K16" s="1">
        <f t="shared" si="2"/>
        <v>-7.783924102315001</v>
      </c>
      <c r="L16" s="1">
        <f t="shared" si="2"/>
        <v>-7.4992023575004865</v>
      </c>
      <c r="M16" s="1">
        <f t="shared" si="2"/>
        <v>-7.21436803690939</v>
      </c>
      <c r="N16" s="1">
        <f t="shared" si="2"/>
        <v>-6.929432657939007</v>
      </c>
      <c r="O16" s="1">
        <f t="shared" si="2"/>
        <v>-6.644407722024029</v>
      </c>
      <c r="P16" s="1">
        <f t="shared" si="2"/>
        <v>-6.359304716446392</v>
      </c>
      <c r="Q16" s="1">
        <f t="shared" si="2"/>
        <v>-6.074135116145365</v>
      </c>
      <c r="R16" s="1">
        <f aca="true" t="shared" si="3" ref="R16:BF16">(ASIN(SIN(R15*$F$5)/$J$8)/$F$5-$F$11/2)/$F$7-$F$9</f>
        <v>-5.788910385527872</v>
      </c>
      <c r="S16" s="1">
        <f t="shared" si="3"/>
        <v>-5.503641980278962</v>
      </c>
      <c r="T16" s="1">
        <f t="shared" si="3"/>
        <v>-5.218341349172439</v>
      </c>
      <c r="U16" s="1">
        <f t="shared" si="3"/>
        <v>-4.933019935881584</v>
      </c>
      <c r="V16" s="1">
        <f t="shared" si="3"/>
        <v>-4.647689180789952</v>
      </c>
      <c r="W16" s="1">
        <f t="shared" si="3"/>
        <v>-4.362360522802227</v>
      </c>
      <c r="X16" s="1">
        <f t="shared" si="3"/>
        <v>-4.0770454011550825</v>
      </c>
      <c r="Y16" s="1">
        <f t="shared" si="3"/>
        <v>-3.7917552572280484</v>
      </c>
      <c r="Z16" s="1">
        <f t="shared" si="3"/>
        <v>-3.5065015363543486</v>
      </c>
      <c r="AA16" s="1">
        <f t="shared" si="3"/>
        <v>-3.2212956896316687</v>
      </c>
      <c r="AB16" s="1">
        <f t="shared" si="3"/>
        <v>-2.9361491757328526</v>
      </c>
      <c r="AC16" s="1">
        <f t="shared" si="3"/>
        <v>-2.6510734627164743</v>
      </c>
      <c r="AD16" s="1">
        <f t="shared" si="3"/>
        <v>-2.3660800298372617</v>
      </c>
      <c r="AE16" s="1">
        <f t="shared" si="3"/>
        <v>-2.0811803693563338</v>
      </c>
      <c r="AF16" s="1">
        <f t="shared" si="3"/>
        <v>-1.7963859883512088</v>
      </c>
      <c r="AG16" s="1">
        <f t="shared" si="3"/>
        <v>-1.511708410525543</v>
      </c>
      <c r="AH16" s="1">
        <f t="shared" si="3"/>
        <v>-1.227159178018535</v>
      </c>
      <c r="AI16" s="1">
        <f t="shared" si="3"/>
        <v>-0.9427498532139471</v>
      </c>
      <c r="AJ16" s="1">
        <f t="shared" si="3"/>
        <v>-0.6584920205486791</v>
      </c>
      <c r="AK16" s="1">
        <f t="shared" si="3"/>
        <v>-0.3743972883208109</v>
      </c>
      <c r="AL16" s="1">
        <f t="shared" si="3"/>
        <v>-0.09047729049704412</v>
      </c>
      <c r="AM16" s="1">
        <f t="shared" si="3"/>
        <v>0.19325631148056832</v>
      </c>
      <c r="AN16" s="1">
        <f t="shared" si="3"/>
        <v>0.4767918268886815</v>
      </c>
      <c r="AO16" s="1">
        <f t="shared" si="3"/>
        <v>0.7601175339176356</v>
      </c>
      <c r="AP16" s="1">
        <f t="shared" si="3"/>
        <v>1.04322167786749</v>
      </c>
      <c r="AQ16" s="1">
        <f t="shared" si="3"/>
        <v>1.3260924693452107</v>
      </c>
      <c r="AR16" s="1">
        <f t="shared" si="3"/>
        <v>1.608718082463212</v>
      </c>
      <c r="AS16" s="1">
        <f t="shared" si="3"/>
        <v>1.8910866530393706</v>
      </c>
      <c r="AT16" s="1">
        <f t="shared" si="3"/>
        <v>2.1731862767987336</v>
      </c>
      <c r="AU16" s="1">
        <f t="shared" si="3"/>
        <v>2.455005007577089</v>
      </c>
      <c r="AV16" s="1">
        <f t="shared" si="3"/>
        <v>2.7365308555266203</v>
      </c>
      <c r="AW16" s="1">
        <f t="shared" si="3"/>
        <v>3.0177517853238855</v>
      </c>
      <c r="AX16" s="1">
        <f t="shared" si="3"/>
        <v>3.2986557143803505</v>
      </c>
      <c r="AY16" s="1">
        <f t="shared" si="3"/>
        <v>3.579230511055756</v>
      </c>
      <c r="AZ16" s="1">
        <f t="shared" si="3"/>
        <v>3.859463992874624</v>
      </c>
      <c r="BA16" s="1">
        <f t="shared" si="3"/>
        <v>4.139343924746176</v>
      </c>
      <c r="BB16" s="1">
        <f t="shared" si="3"/>
        <v>4.418858017188026</v>
      </c>
      <c r="BC16" s="1">
        <f t="shared" si="3"/>
        <v>4.697993924554022</v>
      </c>
      <c r="BD16" s="1">
        <f t="shared" si="3"/>
        <v>4.976739243266512</v>
      </c>
      <c r="BE16" s="1">
        <f t="shared" si="3"/>
        <v>5.255081510053629</v>
      </c>
      <c r="BF16" s="1">
        <f t="shared" si="3"/>
        <v>5.533008200191817</v>
      </c>
    </row>
    <row r="17" spans="5:60" s="1" customFormat="1" ht="12.75">
      <c r="E17" s="1" t="s">
        <v>7</v>
      </c>
      <c r="F17" s="1">
        <f>F$6-$F$7*(F$15+ASIN(1/$K$9*(SIN($F$11*$F$5)*SQRT($J$8^2-(SIN(F$15*$F$5))^2)-COS($F$11*$F$5)*SIN(F$15*$F$5)))/$F$5-$F$11)</f>
        <v>-10.173432075585602</v>
      </c>
      <c r="G17" s="1">
        <f aca="true" t="shared" si="4" ref="G17:BF17">G$6-$F$7*(G$15+ASIN(1/$K$9*(SIN($F$11*$F$5)*SQRT($J$8^2-(SIN(G$15*$F$5))^2)-COS($F$11*$F$5)*SIN(G$15*$F$5)))/$F$5-$F$11)</f>
        <v>-9.865619127567776</v>
      </c>
      <c r="H17" s="1">
        <f t="shared" si="4"/>
        <v>-9.557676252434394</v>
      </c>
      <c r="I17" s="1">
        <f t="shared" si="4"/>
        <v>-9.249614628544194</v>
      </c>
      <c r="J17" s="1">
        <f t="shared" si="4"/>
        <v>-8.941445406905341</v>
      </c>
      <c r="K17" s="1">
        <f t="shared" si="4"/>
        <v>-8.633179713393211</v>
      </c>
      <c r="L17" s="1">
        <f t="shared" si="4"/>
        <v>-8.324828650961642</v>
      </c>
      <c r="M17" s="1">
        <f t="shared" si="4"/>
        <v>-8.016403301847774</v>
      </c>
      <c r="N17" s="1">
        <f t="shared" si="4"/>
        <v>-7.707914729770985</v>
      </c>
      <c r="O17" s="1">
        <f t="shared" si="4"/>
        <v>-7.399373982126009</v>
      </c>
      <c r="P17" s="1">
        <f t="shared" si="4"/>
        <v>-7.090792092170685</v>
      </c>
      <c r="Q17" s="1">
        <f t="shared" si="4"/>
        <v>-6.782180081208575</v>
      </c>
      <c r="R17" s="1">
        <f t="shared" si="4"/>
        <v>-6.473548960766762</v>
      </c>
      <c r="S17" s="1">
        <f t="shared" si="4"/>
        <v>-6.164909734769133</v>
      </c>
      <c r="T17" s="1">
        <f t="shared" si="4"/>
        <v>-5.856273401705448</v>
      </c>
      <c r="U17" s="1">
        <f t="shared" si="4"/>
        <v>-5.547650956796496</v>
      </c>
      <c r="V17" s="1">
        <f t="shared" si="4"/>
        <v>-5.2390533941556185</v>
      </c>
      <c r="W17" s="1">
        <f t="shared" si="4"/>
        <v>-4.9304917089469384</v>
      </c>
      <c r="X17" s="1">
        <f t="shared" si="4"/>
        <v>-4.621976899540522</v>
      </c>
      <c r="Y17" s="1">
        <f t="shared" si="4"/>
        <v>-4.313519969664833</v>
      </c>
      <c r="Z17" s="1">
        <f t="shared" si="4"/>
        <v>-4.005131930556702</v>
      </c>
      <c r="AA17" s="1">
        <f t="shared" si="4"/>
        <v>-3.6968238031091154</v>
      </c>
      <c r="AB17" s="1">
        <f t="shared" si="4"/>
        <v>-3.388606620017125</v>
      </c>
      <c r="AC17" s="1">
        <f t="shared" si="4"/>
        <v>-3.080491427922068</v>
      </c>
      <c r="AD17" s="1">
        <f t="shared" si="4"/>
        <v>-2.7724892895544446</v>
      </c>
      <c r="AE17" s="1">
        <f t="shared" si="4"/>
        <v>-2.4646112858756464</v>
      </c>
      <c r="AF17" s="1">
        <f t="shared" si="4"/>
        <v>-2.1568685182188028</v>
      </c>
      <c r="AG17" s="1">
        <f t="shared" si="4"/>
        <v>-1.849272110428965</v>
      </c>
      <c r="AH17" s="1">
        <f t="shared" si="4"/>
        <v>-1.541833211002873</v>
      </c>
      <c r="AI17" s="1">
        <f t="shared" si="4"/>
        <v>-1.234562995228498</v>
      </c>
      <c r="AJ17" s="1">
        <f t="shared" si="4"/>
        <v>-0.927472667324591</v>
      </c>
      <c r="AK17" s="1">
        <f t="shared" si="4"/>
        <v>-0.6205734625803894</v>
      </c>
      <c r="AL17" s="1">
        <f t="shared" si="4"/>
        <v>-0.3138766494957066</v>
      </c>
      <c r="AM17" s="1">
        <f t="shared" si="4"/>
        <v>-0.007393531921530361</v>
      </c>
      <c r="AN17" s="1">
        <f t="shared" si="4"/>
        <v>0.29886454879868385</v>
      </c>
      <c r="AO17" s="1">
        <f t="shared" si="4"/>
        <v>0.6048862116869129</v>
      </c>
      <c r="AP17" s="1">
        <f t="shared" si="4"/>
        <v>0.9106600339875355</v>
      </c>
      <c r="AQ17" s="1">
        <f t="shared" si="4"/>
        <v>1.2161745490232319</v>
      </c>
      <c r="AR17" s="1">
        <f t="shared" si="4"/>
        <v>1.5214182440497792</v>
      </c>
      <c r="AS17" s="1">
        <f t="shared" si="4"/>
        <v>1.8263795581096351</v>
      </c>
      <c r="AT17" s="1">
        <f t="shared" si="4"/>
        <v>2.1310468798842583</v>
      </c>
      <c r="AU17" s="1">
        <f t="shared" si="4"/>
        <v>2.435408545545166</v>
      </c>
      <c r="AV17" s="1">
        <f t="shared" si="4"/>
        <v>2.7394528366036743</v>
      </c>
      <c r="AW17" s="1">
        <f t="shared" si="4"/>
        <v>3.0431679777593805</v>
      </c>
      <c r="AX17" s="1">
        <f t="shared" si="4"/>
        <v>3.3465421347473665</v>
      </c>
      <c r="AY17" s="1">
        <f t="shared" si="4"/>
        <v>3.649563412184243</v>
      </c>
      <c r="AZ17" s="1">
        <f t="shared" si="4"/>
        <v>3.9522198514130693</v>
      </c>
      <c r="BA17" s="1">
        <f t="shared" si="4"/>
        <v>4.254499428347282</v>
      </c>
      <c r="BB17" s="1">
        <f t="shared" si="4"/>
        <v>4.556390051313757</v>
      </c>
      <c r="BC17" s="1">
        <f t="shared" si="4"/>
        <v>4.8578795588951955</v>
      </c>
      <c r="BD17" s="1">
        <f t="shared" si="4"/>
        <v>5.158955717771967</v>
      </c>
      <c r="BE17" s="1">
        <f t="shared" si="4"/>
        <v>5.459606220563737</v>
      </c>
      <c r="BF17" s="1">
        <f t="shared" si="4"/>
        <v>5.759818683671016</v>
      </c>
      <c r="BG17" s="1" t="s">
        <v>32</v>
      </c>
      <c r="BH17">
        <f>(BH12*BH10-BH6*BH9)/(BH12*BH11-BH6^2)</f>
        <v>1.313565483962744</v>
      </c>
    </row>
    <row r="18" spans="5:60" s="1" customFormat="1" ht="12.75">
      <c r="E18" s="1" t="s">
        <v>8</v>
      </c>
      <c r="F18" s="1">
        <f>F$6-$F$7*(F$15+ASIN(1/$L$9*(SIN($F$11*$F$5)*SQRT($N$8^2-(SIN(F$15*$F$5))^2)-COS($F$11*$F$5)*SIN(F$15*$F$5)))/$F$5-$F$11)</f>
        <v>-10.151578047788476</v>
      </c>
      <c r="G18" s="1">
        <f aca="true" t="shared" si="5" ref="G18:BF18">G$6-$F$7*(G$15+ASIN(1/$L$9*(SIN($F$11*$F$5)*SQRT($N$8^2-(SIN(G$15*$F$5))^2)-COS($F$11*$F$5)*SIN(G$15*$F$5)))/$F$5-$F$11)</f>
        <v>-9.843348596802937</v>
      </c>
      <c r="H18" s="1">
        <f t="shared" si="5"/>
        <v>-9.534987818859513</v>
      </c>
      <c r="I18" s="1">
        <f t="shared" si="5"/>
        <v>-9.226506887817099</v>
      </c>
      <c r="J18" s="1">
        <f t="shared" si="5"/>
        <v>-8.917916950023432</v>
      </c>
      <c r="K18" s="1">
        <f t="shared" si="5"/>
        <v>-8.609229126538409</v>
      </c>
      <c r="L18" s="1">
        <f t="shared" si="5"/>
        <v>-8.300454515350879</v>
      </c>
      <c r="M18" s="1">
        <f t="shared" si="5"/>
        <v>-7.991604193589217</v>
      </c>
      <c r="N18" s="1">
        <f t="shared" si="5"/>
        <v>-7.682689219725977</v>
      </c>
      <c r="O18" s="1">
        <f t="shared" si="5"/>
        <v>-7.373720635776881</v>
      </c>
      <c r="P18" s="1">
        <f t="shared" si="5"/>
        <v>-7.06470946949455</v>
      </c>
      <c r="Q18" s="1">
        <f t="shared" si="5"/>
        <v>-6.755666736557155</v>
      </c>
      <c r="R18" s="1">
        <f t="shared" si="5"/>
        <v>-6.446603442752401</v>
      </c>
      <c r="S18" s="1">
        <f t="shared" si="5"/>
        <v>-6.137530586157092</v>
      </c>
      <c r="T18" s="1">
        <f t="shared" si="5"/>
        <v>-5.828459159312579</v>
      </c>
      <c r="U18" s="1">
        <f t="shared" si="5"/>
        <v>-5.519400151396456</v>
      </c>
      <c r="V18" s="1">
        <f t="shared" si="5"/>
        <v>-5.210364550390704</v>
      </c>
      <c r="W18" s="1">
        <f t="shared" si="5"/>
        <v>-4.9013633452467005</v>
      </c>
      <c r="X18" s="1">
        <f t="shared" si="5"/>
        <v>-4.5924075280472945</v>
      </c>
      <c r="Y18" s="1">
        <f t="shared" si="5"/>
        <v>-4.2835080961662975</v>
      </c>
      <c r="Z18" s="1">
        <f t="shared" si="5"/>
        <v>-3.974676054425652</v>
      </c>
      <c r="AA18" s="1">
        <f t="shared" si="5"/>
        <v>-3.665922417250572</v>
      </c>
      <c r="AB18" s="1">
        <f t="shared" si="5"/>
        <v>-3.3572582108229394</v>
      </c>
      <c r="AC18" s="1">
        <f t="shared" si="5"/>
        <v>-3.0486944752332086</v>
      </c>
      <c r="AD18" s="1">
        <f t="shared" si="5"/>
        <v>-2.7402422666311104</v>
      </c>
      <c r="AE18" s="1">
        <f t="shared" si="5"/>
        <v>-2.4319126593753957</v>
      </c>
      <c r="AF18" s="1">
        <f t="shared" si="5"/>
        <v>-2.1237167481828636</v>
      </c>
      <c r="AG18" s="1">
        <f t="shared" si="5"/>
        <v>-1.8156656502769413</v>
      </c>
      <c r="AH18" s="1">
        <f t="shared" si="5"/>
        <v>-1.507770507536025</v>
      </c>
      <c r="AI18" s="1">
        <f t="shared" si="5"/>
        <v>-1.2000424886417995</v>
      </c>
      <c r="AJ18" s="1">
        <f t="shared" si="5"/>
        <v>-0.8924927912277623</v>
      </c>
      <c r="AK18" s="1">
        <f t="shared" si="5"/>
        <v>-0.5851326440281612</v>
      </c>
      <c r="AL18" s="1">
        <f t="shared" si="5"/>
        <v>-0.27797330902748474</v>
      </c>
      <c r="AM18" s="1">
        <f t="shared" si="5"/>
        <v>0.02897391638926816</v>
      </c>
      <c r="AN18" s="1">
        <f t="shared" si="5"/>
        <v>0.33569769728540155</v>
      </c>
      <c r="AO18" s="1">
        <f t="shared" si="5"/>
        <v>0.6421866590202816</v>
      </c>
      <c r="AP18" s="1">
        <f t="shared" si="5"/>
        <v>0.9484293850959089</v>
      </c>
      <c r="AQ18" s="1">
        <f t="shared" si="5"/>
        <v>1.2544144150021603</v>
      </c>
      <c r="AR18" s="1">
        <f t="shared" si="5"/>
        <v>1.5601302420606595</v>
      </c>
      <c r="AS18" s="1">
        <f t="shared" si="5"/>
        <v>1.8655653112671464</v>
      </c>
      <c r="AT18" s="1">
        <f t="shared" si="5"/>
        <v>2.1707080171323208</v>
      </c>
      <c r="AU18" s="1">
        <f t="shared" si="5"/>
        <v>2.475546701521094</v>
      </c>
      <c r="AV18" s="1">
        <f t="shared" si="5"/>
        <v>2.7800696514902556</v>
      </c>
      <c r="AW18" s="1">
        <f t="shared" si="5"/>
        <v>3.0842650971245353</v>
      </c>
      <c r="AX18" s="1">
        <f t="shared" si="5"/>
        <v>3.388121209371098</v>
      </c>
      <c r="AY18" s="1">
        <f t="shared" si="5"/>
        <v>3.6916260978725326</v>
      </c>
      <c r="AZ18" s="1">
        <f t="shared" si="5"/>
        <v>3.9947678087983576</v>
      </c>
      <c r="BA18" s="1">
        <f t="shared" si="5"/>
        <v>4.297534322675235</v>
      </c>
      <c r="BB18" s="1">
        <f t="shared" si="5"/>
        <v>4.59991355221592</v>
      </c>
      <c r="BC18" s="1">
        <f t="shared" si="5"/>
        <v>4.901893340147177</v>
      </c>
      <c r="BD18" s="1">
        <f t="shared" si="5"/>
        <v>5.2034614570368</v>
      </c>
      <c r="BE18" s="1">
        <f t="shared" si="5"/>
        <v>5.504605599119994</v>
      </c>
      <c r="BF18" s="1">
        <f t="shared" si="5"/>
        <v>5.805313386125313</v>
      </c>
      <c r="BG18" s="1" t="s">
        <v>33</v>
      </c>
      <c r="BH18">
        <f>BH5-BH17*BH4</f>
        <v>0.038182521438354496</v>
      </c>
    </row>
    <row r="19" spans="5:58" s="1" customFormat="1" ht="12.75">
      <c r="E19" s="1" t="s">
        <v>9</v>
      </c>
      <c r="F19" s="1">
        <f>F$6-$F$7*(F$15+ASIN(1/$M$9*(SIN($F$11*$F$5)*SQRT($R$8^2-(SIN(F$15*$F$5))^2)-COS($F$11*$F$5)*SIN(F$15*$F$5)))/$F$5-$F$11)</f>
        <v>-10.239342838759125</v>
      </c>
      <c r="G19" s="1">
        <f aca="true" t="shared" si="6" ref="G19:BF19">G$6-$F$7*(G$15+ASIN(1/$M$9*(SIN($F$11*$F$5)*SQRT($R$8^2-(SIN(G$15*$F$5))^2)-COS($F$11*$F$5)*SIN(G$15*$F$5)))/$F$5-$F$11)</f>
        <v>-9.932474977135442</v>
      </c>
      <c r="H19" s="1">
        <f t="shared" si="6"/>
        <v>-9.625481236609275</v>
      </c>
      <c r="I19" s="1">
        <f t="shared" si="6"/>
        <v>-9.318372802882969</v>
      </c>
      <c r="J19" s="1">
        <f t="shared" si="6"/>
        <v>-9.011160834715518</v>
      </c>
      <c r="K19" s="1">
        <f t="shared" si="6"/>
        <v>-8.703856466128268</v>
      </c>
      <c r="L19" s="1">
        <f t="shared" si="6"/>
        <v>-8.396470808603755</v>
      </c>
      <c r="M19" s="1">
        <f t="shared" si="6"/>
        <v>-8.089014953277953</v>
      </c>
      <c r="N19" s="1">
        <f t="shared" si="6"/>
        <v>-7.7814999731261745</v>
      </c>
      <c r="O19" s="1">
        <f t="shared" si="6"/>
        <v>-7.4739369251429695</v>
      </c>
      <c r="P19" s="1">
        <f t="shared" si="6"/>
        <v>-7.166336852516307</v>
      </c>
      <c r="Q19" s="1">
        <f t="shared" si="6"/>
        <v>-6.858710786796302</v>
      </c>
      <c r="R19" s="1">
        <f t="shared" si="6"/>
        <v>-6.551069750058807</v>
      </c>
      <c r="S19" s="1">
        <f t="shared" si="6"/>
        <v>-6.2434247570641555</v>
      </c>
      <c r="T19" s="1">
        <f t="shared" si="6"/>
        <v>-5.935786817411361</v>
      </c>
      <c r="U19" s="1">
        <f t="shared" si="6"/>
        <v>-5.628166937688007</v>
      </c>
      <c r="V19" s="1">
        <f t="shared" si="6"/>
        <v>-5.3205761236162115</v>
      </c>
      <c r="W19" s="1">
        <f t="shared" si="6"/>
        <v>-5.013025382194851</v>
      </c>
      <c r="X19" s="1">
        <f t="shared" si="6"/>
        <v>-4.705525723838397</v>
      </c>
      <c r="Y19" s="1">
        <f t="shared" si="6"/>
        <v>-4.398088164512604</v>
      </c>
      <c r="Z19" s="1">
        <f t="shared" si="6"/>
        <v>-4.090723727867319</v>
      </c>
      <c r="AA19" s="1">
        <f t="shared" si="6"/>
        <v>-3.7834434473667162</v>
      </c>
      <c r="AB19" s="1">
        <f t="shared" si="6"/>
        <v>-3.4762583684171684</v>
      </c>
      <c r="AC19" s="1">
        <f t="shared" si="6"/>
        <v>-3.169179550493043</v>
      </c>
      <c r="AD19" s="1">
        <f t="shared" si="6"/>
        <v>-2.8622180692606403</v>
      </c>
      <c r="AE19" s="1">
        <f t="shared" si="6"/>
        <v>-2.555385018700566</v>
      </c>
      <c r="AF19" s="1">
        <f t="shared" si="6"/>
        <v>-2.2486915132286573</v>
      </c>
      <c r="AG19" s="1">
        <f t="shared" si="6"/>
        <v>-1.9421486898158435</v>
      </c>
      <c r="AH19" s="1">
        <f t="shared" si="6"/>
        <v>-1.635767710106983</v>
      </c>
      <c r="AI19" s="1">
        <f t="shared" si="6"/>
        <v>-1.329559762539003</v>
      </c>
      <c r="AJ19" s="1">
        <f t="shared" si="6"/>
        <v>-1.023536064458443</v>
      </c>
      <c r="AK19" s="1">
        <f t="shared" si="6"/>
        <v>-0.717707864238645</v>
      </c>
      <c r="AL19" s="1">
        <f t="shared" si="6"/>
        <v>-0.41208644339670375</v>
      </c>
      <c r="AM19" s="1">
        <f t="shared" si="6"/>
        <v>-0.10668311871034764</v>
      </c>
      <c r="AN19" s="1">
        <f t="shared" si="6"/>
        <v>0.19849075566513097</v>
      </c>
      <c r="AO19" s="1">
        <f t="shared" si="6"/>
        <v>0.5034237860797282</v>
      </c>
      <c r="AP19" s="1">
        <f t="shared" si="6"/>
        <v>0.8081045372713485</v>
      </c>
      <c r="AQ19" s="1">
        <f t="shared" si="6"/>
        <v>1.1125215302480163</v>
      </c>
      <c r="AR19" s="1">
        <f t="shared" si="6"/>
        <v>1.4166632401696555</v>
      </c>
      <c r="AS19" s="1">
        <f t="shared" si="6"/>
        <v>1.7205180942294023</v>
      </c>
      <c r="AT19" s="1">
        <f t="shared" si="6"/>
        <v>2.024074469534354</v>
      </c>
      <c r="AU19" s="1">
        <f t="shared" si="6"/>
        <v>2.3273206909858333</v>
      </c>
      <c r="AV19" s="1">
        <f t="shared" si="6"/>
        <v>2.6302450291590853</v>
      </c>
      <c r="AW19" s="1">
        <f t="shared" si="6"/>
        <v>2.9328356981825285</v>
      </c>
      <c r="AX19" s="1">
        <f t="shared" si="6"/>
        <v>3.2350808536165268</v>
      </c>
      <c r="AY19" s="1">
        <f t="shared" si="6"/>
        <v>3.5369685903318544</v>
      </c>
      <c r="AZ19" s="1">
        <f t="shared" si="6"/>
        <v>3.8384869403878596</v>
      </c>
      <c r="BA19" s="1">
        <f t="shared" si="6"/>
        <v>4.139623870910562</v>
      </c>
      <c r="BB19" s="1">
        <f t="shared" si="6"/>
        <v>4.44036728197074</v>
      </c>
      <c r="BC19" s="1">
        <f t="shared" si="6"/>
        <v>4.740705004462297</v>
      </c>
      <c r="BD19" s="1">
        <f t="shared" si="6"/>
        <v>5.040624797981007</v>
      </c>
      <c r="BE19" s="1">
        <f t="shared" si="6"/>
        <v>5.3401143487040255</v>
      </c>
      <c r="BF19" s="1">
        <f t="shared" si="6"/>
        <v>5.639161267270294</v>
      </c>
    </row>
    <row r="20" spans="5:58" s="1" customFormat="1" ht="12.75">
      <c r="E20" s="1" t="s">
        <v>10</v>
      </c>
      <c r="F20" s="1">
        <f>($G$9+F$17)*$G$7+$F$12/2</f>
        <v>12.873432075585601</v>
      </c>
      <c r="G20" s="1">
        <f aca="true" t="shared" si="7" ref="G20:BF20">($G$9+G$17)*$G$7+$F$12/2</f>
        <v>12.565619127567775</v>
      </c>
      <c r="H20" s="1">
        <f t="shared" si="7"/>
        <v>12.257676252434393</v>
      </c>
      <c r="I20" s="1">
        <f t="shared" si="7"/>
        <v>11.949614628544193</v>
      </c>
      <c r="J20" s="1">
        <f t="shared" si="7"/>
        <v>11.64144540690534</v>
      </c>
      <c r="K20" s="1">
        <f t="shared" si="7"/>
        <v>11.33317971339321</v>
      </c>
      <c r="L20" s="1">
        <f t="shared" si="7"/>
        <v>11.024828650961641</v>
      </c>
      <c r="M20" s="1">
        <f t="shared" si="7"/>
        <v>10.716403301847773</v>
      </c>
      <c r="N20" s="1">
        <f t="shared" si="7"/>
        <v>10.407914729770983</v>
      </c>
      <c r="O20" s="1">
        <f t="shared" si="7"/>
        <v>10.099373982126007</v>
      </c>
      <c r="P20" s="1">
        <f t="shared" si="7"/>
        <v>9.790792092170683</v>
      </c>
      <c r="Q20" s="1">
        <f t="shared" si="7"/>
        <v>9.482180081208575</v>
      </c>
      <c r="R20" s="1">
        <f t="shared" si="7"/>
        <v>9.173548960766762</v>
      </c>
      <c r="S20" s="1">
        <f t="shared" si="7"/>
        <v>8.864909734769132</v>
      </c>
      <c r="T20" s="1">
        <f t="shared" si="7"/>
        <v>8.556273401705447</v>
      </c>
      <c r="U20" s="1">
        <f t="shared" si="7"/>
        <v>8.247650956796495</v>
      </c>
      <c r="V20" s="1">
        <f t="shared" si="7"/>
        <v>7.939053394155618</v>
      </c>
      <c r="W20" s="1">
        <f t="shared" si="7"/>
        <v>7.630491708946938</v>
      </c>
      <c r="X20" s="1">
        <f t="shared" si="7"/>
        <v>7.321976899540521</v>
      </c>
      <c r="Y20" s="1">
        <f t="shared" si="7"/>
        <v>7.0135199696648325</v>
      </c>
      <c r="Z20" s="1">
        <f t="shared" si="7"/>
        <v>6.705131930556702</v>
      </c>
      <c r="AA20" s="1">
        <f t="shared" si="7"/>
        <v>6.396823803109115</v>
      </c>
      <c r="AB20" s="1">
        <f t="shared" si="7"/>
        <v>6.088606620017124</v>
      </c>
      <c r="AC20" s="1">
        <f t="shared" si="7"/>
        <v>5.780491427922067</v>
      </c>
      <c r="AD20" s="1">
        <f t="shared" si="7"/>
        <v>5.472489289554444</v>
      </c>
      <c r="AE20" s="1">
        <f t="shared" si="7"/>
        <v>5.164611285875646</v>
      </c>
      <c r="AF20" s="1">
        <f t="shared" si="7"/>
        <v>4.856868518218802</v>
      </c>
      <c r="AG20" s="1">
        <f t="shared" si="7"/>
        <v>4.549272110428964</v>
      </c>
      <c r="AH20" s="1">
        <f t="shared" si="7"/>
        <v>4.241833211002872</v>
      </c>
      <c r="AI20" s="1">
        <f t="shared" si="7"/>
        <v>3.9345629952284966</v>
      </c>
      <c r="AJ20" s="1">
        <f t="shared" si="7"/>
        <v>3.6274726673245894</v>
      </c>
      <c r="AK20" s="1">
        <f t="shared" si="7"/>
        <v>3.3205734625803878</v>
      </c>
      <c r="AL20" s="1">
        <f t="shared" si="7"/>
        <v>3.0138766494957068</v>
      </c>
      <c r="AM20" s="1">
        <f t="shared" si="7"/>
        <v>2.7073935319215288</v>
      </c>
      <c r="AN20" s="1">
        <f t="shared" si="7"/>
        <v>2.4011354512013163</v>
      </c>
      <c r="AO20" s="1">
        <f t="shared" si="7"/>
        <v>2.0951137883130855</v>
      </c>
      <c r="AP20" s="1">
        <f t="shared" si="7"/>
        <v>1.789339966012463</v>
      </c>
      <c r="AQ20" s="1">
        <f t="shared" si="7"/>
        <v>1.4838254509767665</v>
      </c>
      <c r="AR20" s="1">
        <f t="shared" si="7"/>
        <v>1.1785817559502192</v>
      </c>
      <c r="AS20" s="1">
        <f t="shared" si="7"/>
        <v>0.8736204418903633</v>
      </c>
      <c r="AT20" s="1">
        <f t="shared" si="7"/>
        <v>0.5689531201157401</v>
      </c>
      <c r="AU20" s="1">
        <f t="shared" si="7"/>
        <v>0.264591454454834</v>
      </c>
      <c r="AV20" s="1">
        <f t="shared" si="7"/>
        <v>-0.039452836603675934</v>
      </c>
      <c r="AW20" s="1">
        <f t="shared" si="7"/>
        <v>-0.3431679777593821</v>
      </c>
      <c r="AX20" s="1">
        <f t="shared" si="7"/>
        <v>-0.6465421347473672</v>
      </c>
      <c r="AY20" s="1">
        <f t="shared" si="7"/>
        <v>-0.9495634121842436</v>
      </c>
      <c r="AZ20" s="1">
        <f t="shared" si="7"/>
        <v>-1.25221985141307</v>
      </c>
      <c r="BA20" s="1">
        <f t="shared" si="7"/>
        <v>-1.554499428347281</v>
      </c>
      <c r="BB20" s="1">
        <f t="shared" si="7"/>
        <v>-1.8563900513137561</v>
      </c>
      <c r="BC20" s="1">
        <f t="shared" si="7"/>
        <v>-2.1578795588951962</v>
      </c>
      <c r="BD20" s="1">
        <f t="shared" si="7"/>
        <v>-2.4589557177719676</v>
      </c>
      <c r="BE20" s="1">
        <f t="shared" si="7"/>
        <v>-2.759606220563736</v>
      </c>
      <c r="BF20" s="1">
        <f t="shared" si="7"/>
        <v>-3.059818683671015</v>
      </c>
    </row>
    <row r="21" spans="5:58" ht="12.75">
      <c r="E21" s="1" t="s">
        <v>11</v>
      </c>
      <c r="F21" s="1">
        <f>$G$7*($G$9+F$18)+$F$12/2</f>
        <v>12.851578047788475</v>
      </c>
      <c r="G21" s="1">
        <f aca="true" t="shared" si="8" ref="G21:BF21">$G$7*($G$9+G$18)+$F$12/2</f>
        <v>12.543348596802936</v>
      </c>
      <c r="H21" s="1">
        <f t="shared" si="8"/>
        <v>12.234987818859512</v>
      </c>
      <c r="I21" s="1">
        <f t="shared" si="8"/>
        <v>11.926506887817098</v>
      </c>
      <c r="J21" s="1">
        <f t="shared" si="8"/>
        <v>11.617916950023432</v>
      </c>
      <c r="K21" s="1">
        <f t="shared" si="8"/>
        <v>11.309229126538408</v>
      </c>
      <c r="L21" s="1">
        <f t="shared" si="8"/>
        <v>11.000454515350878</v>
      </c>
      <c r="M21" s="1">
        <f t="shared" si="8"/>
        <v>10.691604193589217</v>
      </c>
      <c r="N21" s="1">
        <f t="shared" si="8"/>
        <v>10.382689219725975</v>
      </c>
      <c r="O21" s="1">
        <f t="shared" si="8"/>
        <v>10.07372063577688</v>
      </c>
      <c r="P21" s="1">
        <f t="shared" si="8"/>
        <v>9.764709469494548</v>
      </c>
      <c r="Q21" s="1">
        <f t="shared" si="8"/>
        <v>9.455666736557156</v>
      </c>
      <c r="R21" s="1">
        <f t="shared" si="8"/>
        <v>9.1466034427524</v>
      </c>
      <c r="S21" s="1">
        <f t="shared" si="8"/>
        <v>8.83753058615709</v>
      </c>
      <c r="T21" s="1">
        <f t="shared" si="8"/>
        <v>8.528459159312579</v>
      </c>
      <c r="U21" s="1">
        <f t="shared" si="8"/>
        <v>8.219400151396457</v>
      </c>
      <c r="V21" s="1">
        <f t="shared" si="8"/>
        <v>7.910364550390703</v>
      </c>
      <c r="W21" s="1">
        <f t="shared" si="8"/>
        <v>7.6013633452467</v>
      </c>
      <c r="X21" s="1">
        <f t="shared" si="8"/>
        <v>7.292407528047294</v>
      </c>
      <c r="Y21" s="1">
        <f t="shared" si="8"/>
        <v>6.983508096166297</v>
      </c>
      <c r="Z21" s="1">
        <f t="shared" si="8"/>
        <v>6.674676054425651</v>
      </c>
      <c r="AA21" s="1">
        <f t="shared" si="8"/>
        <v>6.365922417250571</v>
      </c>
      <c r="AB21" s="1">
        <f t="shared" si="8"/>
        <v>6.057258210822939</v>
      </c>
      <c r="AC21" s="1">
        <f t="shared" si="8"/>
        <v>5.748694475233208</v>
      </c>
      <c r="AD21" s="1">
        <f t="shared" si="8"/>
        <v>5.44024226663111</v>
      </c>
      <c r="AE21" s="1">
        <f t="shared" si="8"/>
        <v>5.131912659375395</v>
      </c>
      <c r="AF21" s="1">
        <f t="shared" si="8"/>
        <v>4.8237167481828624</v>
      </c>
      <c r="AG21" s="1">
        <f t="shared" si="8"/>
        <v>4.51566565027694</v>
      </c>
      <c r="AH21" s="1">
        <f t="shared" si="8"/>
        <v>4.207770507536024</v>
      </c>
      <c r="AI21" s="1">
        <f t="shared" si="8"/>
        <v>3.900042488641798</v>
      </c>
      <c r="AJ21" s="1">
        <f t="shared" si="8"/>
        <v>3.5924927912277624</v>
      </c>
      <c r="AK21" s="1">
        <f t="shared" si="8"/>
        <v>3.2851326440281596</v>
      </c>
      <c r="AL21" s="1">
        <f t="shared" si="8"/>
        <v>2.977973309027483</v>
      </c>
      <c r="AM21" s="1">
        <f t="shared" si="8"/>
        <v>2.6710260836107302</v>
      </c>
      <c r="AN21" s="1">
        <f t="shared" si="8"/>
        <v>2.3643023027145986</v>
      </c>
      <c r="AO21" s="1">
        <f t="shared" si="8"/>
        <v>2.057813340979717</v>
      </c>
      <c r="AP21" s="1">
        <f t="shared" si="8"/>
        <v>1.7515706149040895</v>
      </c>
      <c r="AQ21" s="1">
        <f t="shared" si="8"/>
        <v>1.4455855849978398</v>
      </c>
      <c r="AR21" s="1">
        <f t="shared" si="8"/>
        <v>1.1398697579393406</v>
      </c>
      <c r="AS21" s="1">
        <f t="shared" si="8"/>
        <v>0.834434688732852</v>
      </c>
      <c r="AT21" s="1">
        <f t="shared" si="8"/>
        <v>0.5292919828676794</v>
      </c>
      <c r="AU21" s="1">
        <f t="shared" si="8"/>
        <v>0.22445329847890605</v>
      </c>
      <c r="AV21" s="1">
        <f t="shared" si="8"/>
        <v>-0.08006965149025547</v>
      </c>
      <c r="AW21" s="1">
        <f t="shared" si="8"/>
        <v>-0.38426509712453694</v>
      </c>
      <c r="AX21" s="1">
        <f t="shared" si="8"/>
        <v>-0.6881212093710989</v>
      </c>
      <c r="AY21" s="1">
        <f t="shared" si="8"/>
        <v>-0.9916260978725333</v>
      </c>
      <c r="AZ21" s="1">
        <f t="shared" si="8"/>
        <v>-1.2947678087983583</v>
      </c>
      <c r="BA21" s="1">
        <f t="shared" si="8"/>
        <v>-1.5975343226752337</v>
      </c>
      <c r="BB21" s="1">
        <f t="shared" si="8"/>
        <v>-1.8999135522159207</v>
      </c>
      <c r="BC21" s="1">
        <f t="shared" si="8"/>
        <v>-2.2018933401471763</v>
      </c>
      <c r="BD21" s="1">
        <f t="shared" si="8"/>
        <v>-2.503461457036803</v>
      </c>
      <c r="BE21" s="1">
        <f t="shared" si="8"/>
        <v>-2.804605599119995</v>
      </c>
      <c r="BF21" s="1">
        <f t="shared" si="8"/>
        <v>-3.1053133861253137</v>
      </c>
    </row>
    <row r="22" spans="5:58" ht="12.75">
      <c r="E22" s="1" t="s">
        <v>12</v>
      </c>
      <c r="F22" s="1">
        <f>$G$7*($G$9+F$19)+$F$12/2</f>
        <v>12.939342838759124</v>
      </c>
      <c r="G22" s="1">
        <f aca="true" t="shared" si="9" ref="G22:BF22">$G$7*($G$9+G$19)+$F$12/2</f>
        <v>12.632474977135441</v>
      </c>
      <c r="H22" s="1">
        <f t="shared" si="9"/>
        <v>12.325481236609274</v>
      </c>
      <c r="I22" s="1">
        <f t="shared" si="9"/>
        <v>12.018372802882968</v>
      </c>
      <c r="J22" s="1">
        <f t="shared" si="9"/>
        <v>11.711160834715518</v>
      </c>
      <c r="K22" s="1">
        <f t="shared" si="9"/>
        <v>11.403856466128268</v>
      </c>
      <c r="L22" s="1">
        <f t="shared" si="9"/>
        <v>11.096470808603755</v>
      </c>
      <c r="M22" s="1">
        <f t="shared" si="9"/>
        <v>10.789014953277952</v>
      </c>
      <c r="N22" s="1">
        <f t="shared" si="9"/>
        <v>10.481499973126173</v>
      </c>
      <c r="O22" s="1">
        <f t="shared" si="9"/>
        <v>10.173936925142968</v>
      </c>
      <c r="P22" s="1">
        <f t="shared" si="9"/>
        <v>9.866336852516305</v>
      </c>
      <c r="Q22" s="1">
        <f t="shared" si="9"/>
        <v>9.5587107867963</v>
      </c>
      <c r="R22" s="1">
        <f t="shared" si="9"/>
        <v>9.251069750058807</v>
      </c>
      <c r="S22" s="1">
        <f t="shared" si="9"/>
        <v>8.943424757064154</v>
      </c>
      <c r="T22" s="1">
        <f t="shared" si="9"/>
        <v>8.635786817411361</v>
      </c>
      <c r="U22" s="1">
        <f t="shared" si="9"/>
        <v>8.328166937688007</v>
      </c>
      <c r="V22" s="1">
        <f t="shared" si="9"/>
        <v>8.02057612361621</v>
      </c>
      <c r="W22" s="1">
        <f t="shared" si="9"/>
        <v>7.71302538219485</v>
      </c>
      <c r="X22" s="1">
        <f t="shared" si="9"/>
        <v>7.405525723838396</v>
      </c>
      <c r="Y22" s="1">
        <f t="shared" si="9"/>
        <v>7.098088164512603</v>
      </c>
      <c r="Z22" s="1">
        <f t="shared" si="9"/>
        <v>6.790723727867318</v>
      </c>
      <c r="AA22" s="1">
        <f t="shared" si="9"/>
        <v>6.4834434473667155</v>
      </c>
      <c r="AB22" s="1">
        <f t="shared" si="9"/>
        <v>6.176258368417168</v>
      </c>
      <c r="AC22" s="1">
        <f t="shared" si="9"/>
        <v>5.869179550493042</v>
      </c>
      <c r="AD22" s="1">
        <f t="shared" si="9"/>
        <v>5.5622180692606396</v>
      </c>
      <c r="AE22" s="1">
        <f t="shared" si="9"/>
        <v>5.255385018700565</v>
      </c>
      <c r="AF22" s="1">
        <f t="shared" si="9"/>
        <v>4.948691513228656</v>
      </c>
      <c r="AG22" s="1">
        <f t="shared" si="9"/>
        <v>4.642148689815842</v>
      </c>
      <c r="AH22" s="1">
        <f t="shared" si="9"/>
        <v>4.335767710106982</v>
      </c>
      <c r="AI22" s="1">
        <f t="shared" si="9"/>
        <v>4.029559762539002</v>
      </c>
      <c r="AJ22" s="1">
        <f t="shared" si="9"/>
        <v>3.723536064458443</v>
      </c>
      <c r="AK22" s="1">
        <f t="shared" si="9"/>
        <v>3.4177078642386434</v>
      </c>
      <c r="AL22" s="1">
        <f t="shared" si="9"/>
        <v>3.112086443396702</v>
      </c>
      <c r="AM22" s="1">
        <f t="shared" si="9"/>
        <v>2.806683118710346</v>
      </c>
      <c r="AN22" s="1">
        <f t="shared" si="9"/>
        <v>2.501509244334869</v>
      </c>
      <c r="AO22" s="1">
        <f t="shared" si="9"/>
        <v>2.1965762139202702</v>
      </c>
      <c r="AP22" s="1">
        <f t="shared" si="9"/>
        <v>1.8918954627286517</v>
      </c>
      <c r="AQ22" s="1">
        <f t="shared" si="9"/>
        <v>1.5874784697519821</v>
      </c>
      <c r="AR22" s="1">
        <f t="shared" si="9"/>
        <v>1.2833367598303447</v>
      </c>
      <c r="AS22" s="1">
        <f t="shared" si="9"/>
        <v>0.9794819057705979</v>
      </c>
      <c r="AT22" s="1">
        <f t="shared" si="9"/>
        <v>0.6759255304656442</v>
      </c>
      <c r="AU22" s="1">
        <f t="shared" si="9"/>
        <v>0.3726793090141669</v>
      </c>
      <c r="AV22" s="1">
        <f t="shared" si="9"/>
        <v>0.06975497084091486</v>
      </c>
      <c r="AW22" s="1">
        <f t="shared" si="9"/>
        <v>-0.23283569818253014</v>
      </c>
      <c r="AX22" s="1">
        <f t="shared" si="9"/>
        <v>-0.5350808536165275</v>
      </c>
      <c r="AY22" s="1">
        <f t="shared" si="9"/>
        <v>-0.8369685903318551</v>
      </c>
      <c r="AZ22" s="1">
        <f t="shared" si="9"/>
        <v>-1.1384869403878604</v>
      </c>
      <c r="BA22" s="1">
        <f t="shared" si="9"/>
        <v>-1.4396238709105624</v>
      </c>
      <c r="BB22" s="1">
        <f t="shared" si="9"/>
        <v>-1.740367281970741</v>
      </c>
      <c r="BC22" s="1">
        <f t="shared" si="9"/>
        <v>-2.0407050044623</v>
      </c>
      <c r="BD22" s="1">
        <f t="shared" si="9"/>
        <v>-2.3406247979810075</v>
      </c>
      <c r="BE22" s="1">
        <f t="shared" si="9"/>
        <v>-2.640114348704028</v>
      </c>
      <c r="BF22" s="1">
        <f t="shared" si="9"/>
        <v>-2.939161267270297</v>
      </c>
    </row>
    <row r="23" spans="5:58" ht="12.75">
      <c r="E23" s="1" t="s">
        <v>113</v>
      </c>
      <c r="F23" s="1">
        <f>(ASIN(SIN(F20*$F$5)*$J$8/$K$8)/$F$5-$F$12/2)/$G$7-$G$9</f>
        <v>-11.469517198408157</v>
      </c>
      <c r="G23" s="1">
        <f aca="true" t="shared" si="10" ref="G23:BF23">(ASIN(SIN(G20*$F$5)*$J$8/$K$8)/$F$5-$F$12/2)/$G$7-$G$9</f>
        <v>-11.1295192915504</v>
      </c>
      <c r="H23" s="1">
        <f t="shared" si="10"/>
        <v>-10.789467379622812</v>
      </c>
      <c r="I23" s="1">
        <f t="shared" si="10"/>
        <v>-10.449371376319567</v>
      </c>
      <c r="J23" s="1">
        <f t="shared" si="10"/>
        <v>-10.109241174005003</v>
      </c>
      <c r="K23" s="1">
        <f t="shared" si="10"/>
        <v>-9.769086646276476</v>
      </c>
      <c r="L23" s="1">
        <f t="shared" si="10"/>
        <v>-9.428917650512016</v>
      </c>
      <c r="M23" s="1">
        <f>(ASIN(SIN(M20*$F$5)*$J$8/$K$8)/$F$5-$F$12/2)/$G$7-$G$9</f>
        <v>-9.088744030403575</v>
      </c>
      <c r="N23" s="1">
        <f t="shared" si="10"/>
        <v>-8.748575618477021</v>
      </c>
      <c r="O23" s="1">
        <f t="shared" si="10"/>
        <v>-8.408422238599545</v>
      </c>
      <c r="P23" s="1">
        <f t="shared" si="10"/>
        <v>-8.068293708475574</v>
      </c>
      <c r="Q23" s="1">
        <f t="shared" si="10"/>
        <v>-7.728199842132014</v>
      </c>
      <c r="R23" s="1">
        <f t="shared" si="10"/>
        <v>-7.388150452393692</v>
      </c>
      <c r="S23" s="1">
        <f t="shared" si="10"/>
        <v>-7.0481553533499035</v>
      </c>
      <c r="T23" s="1">
        <f t="shared" si="10"/>
        <v>-6.708224362812906</v>
      </c>
      <c r="U23" s="1">
        <f t="shared" si="10"/>
        <v>-6.368367304769182</v>
      </c>
      <c r="V23" s="1">
        <f t="shared" si="10"/>
        <v>-6.0285940118243</v>
      </c>
      <c r="W23" s="1">
        <f t="shared" si="10"/>
        <v>-5.688914327642255</v>
      </c>
      <c r="X23" s="1">
        <f t="shared" si="10"/>
        <v>-5.34933810937998</v>
      </c>
      <c r="Y23" s="1">
        <f t="shared" si="10"/>
        <v>-5.009875230117921</v>
      </c>
      <c r="Z23" s="1">
        <f t="shared" si="10"/>
        <v>-4.6705355812874005</v>
      </c>
      <c r="AA23" s="1">
        <f t="shared" si="10"/>
        <v>-4.331329075095489</v>
      </c>
      <c r="AB23" s="1">
        <f t="shared" si="10"/>
        <v>-3.9922656469482725</v>
      </c>
      <c r="AC23" s="1">
        <f t="shared" si="10"/>
        <v>-3.6533552578730593</v>
      </c>
      <c r="AD23" s="1">
        <f t="shared" si="10"/>
        <v>-3.3146078969404122</v>
      </c>
      <c r="AE23" s="1">
        <f t="shared" si="10"/>
        <v>-2.9760335836866147</v>
      </c>
      <c r="AF23" s="1">
        <f t="shared" si="10"/>
        <v>-2.6376423705373</v>
      </c>
      <c r="AG23" s="1">
        <f t="shared" si="10"/>
        <v>-2.299444345232896</v>
      </c>
      <c r="AH23" s="1">
        <f t="shared" si="10"/>
        <v>-1.9614496332565707</v>
      </c>
      <c r="AI23" s="1">
        <f t="shared" si="10"/>
        <v>-1.6236684002652844</v>
      </c>
      <c r="AJ23" s="1">
        <f t="shared" si="10"/>
        <v>-1.2861108545246491</v>
      </c>
      <c r="AK23" s="1">
        <f t="shared" si="10"/>
        <v>-0.9487872493481024</v>
      </c>
      <c r="AL23" s="1">
        <f t="shared" si="10"/>
        <v>-0.6117078855410902</v>
      </c>
      <c r="AM23" s="1">
        <f t="shared" si="10"/>
        <v>-0.2748831138507484</v>
      </c>
      <c r="AN23" s="1">
        <f t="shared" si="10"/>
        <v>0.06167666257824678</v>
      </c>
      <c r="AO23" s="1">
        <f t="shared" si="10"/>
        <v>0.39796098574126404</v>
      </c>
      <c r="AP23" s="1">
        <f t="shared" si="10"/>
        <v>0.7339593403040752</v>
      </c>
      <c r="AQ23" s="1">
        <f t="shared" si="10"/>
        <v>1.0696611511255885</v>
      </c>
      <c r="AR23" s="1">
        <f t="shared" si="10"/>
        <v>1.4050557807724058</v>
      </c>
      <c r="AS23" s="1">
        <f t="shared" si="10"/>
        <v>1.7401325270247927</v>
      </c>
      <c r="AT23" s="1">
        <f t="shared" si="10"/>
        <v>2.0748806203735786</v>
      </c>
      <c r="AU23" s="1">
        <f t="shared" si="10"/>
        <v>2.4092892215076205</v>
      </c>
      <c r="AV23" s="1">
        <f t="shared" si="10"/>
        <v>2.743347418791398</v>
      </c>
      <c r="AW23" s="1">
        <f t="shared" si="10"/>
        <v>3.077044225732374</v>
      </c>
      <c r="AX23" s="1">
        <f t="shared" si="10"/>
        <v>3.4103685784378097</v>
      </c>
      <c r="AY23" s="1">
        <f t="shared" si="10"/>
        <v>3.7433093330606937</v>
      </c>
      <c r="AZ23" s="1">
        <f t="shared" si="10"/>
        <v>4.0758552632345015</v>
      </c>
      <c r="BA23" s="1">
        <f t="shared" si="10"/>
        <v>4.40799505749651</v>
      </c>
      <c r="BB23" s="1">
        <f t="shared" si="10"/>
        <v>4.739717316699505</v>
      </c>
      <c r="BC23" s="1">
        <f t="shared" si="10"/>
        <v>5.071010551411572</v>
      </c>
      <c r="BD23" s="1">
        <f t="shared" si="10"/>
        <v>5.401863179303881</v>
      </c>
      <c r="BE23" s="1">
        <f t="shared" si="10"/>
        <v>5.732263522526392</v>
      </c>
      <c r="BF23" s="1">
        <f t="shared" si="10"/>
        <v>6.062199805071192</v>
      </c>
    </row>
    <row r="24" spans="5:58" ht="12.75">
      <c r="E24" t="s">
        <v>13</v>
      </c>
      <c r="F24" s="1">
        <f>F17-$G$7*(F20+ASIN($K$9*(SIN($F$12*$F$5)*SQRT(($K$8/$K$9)^2-(SIN(F20*$F$5))^2)-COS($F$12*$F$5)*SIN(F20*$F$5)))/$F$5-$F$12)</f>
        <v>-2.017469455187147</v>
      </c>
      <c r="G24" s="1">
        <f aca="true" t="shared" si="11" ref="G24:BF24">G17-$G$7*(G20+ASIN($K$9*(SIN($F$12*$F$5)*SQRT(($K$8/$K$9)^2-(SIN(G20*$F$5))^2)-COS($F$12*$F$5)*SIN(G20*$F$5)))/$F$5-$F$12)</f>
        <v>-1.5287494162265318</v>
      </c>
      <c r="H24" s="1">
        <f t="shared" si="11"/>
        <v>-1.0386595042687823</v>
      </c>
      <c r="I24" s="1">
        <f t="shared" si="11"/>
        <v>-0.5471794476069363</v>
      </c>
      <c r="J24" s="1">
        <f t="shared" si="11"/>
        <v>-0.0542879588319245</v>
      </c>
      <c r="K24" s="1">
        <f t="shared" si="11"/>
        <v>0.44003730463367674</v>
      </c>
      <c r="L24" s="1">
        <f t="shared" si="11"/>
        <v>0.9358197824656713</v>
      </c>
      <c r="M24" s="1">
        <f t="shared" si="11"/>
        <v>1.4330840560022082</v>
      </c>
      <c r="N24" s="1">
        <f t="shared" si="11"/>
        <v>1.9318558956253744</v>
      </c>
      <c r="O24" s="1">
        <f t="shared" si="11"/>
        <v>2.4321623111604955</v>
      </c>
      <c r="P24" s="1">
        <f t="shared" si="11"/>
        <v>2.934031605510202</v>
      </c>
      <c r="Q24" s="1">
        <f t="shared" si="11"/>
        <v>3.4374934317599797</v>
      </c>
      <c r="R24" s="1">
        <f t="shared" si="11"/>
        <v>3.94257885401239</v>
      </c>
      <c r="S24" s="1">
        <f t="shared" si="11"/>
        <v>4.449320412231002</v>
      </c>
      <c r="T24" s="1">
        <f t="shared" si="11"/>
        <v>4.957752191400611</v>
      </c>
      <c r="U24" s="1">
        <f t="shared" si="11"/>
        <v>5.46790989533872</v>
      </c>
      <c r="V24" s="1">
        <f t="shared" si="11"/>
        <v>5.979830925524745</v>
      </c>
      <c r="W24" s="1">
        <f t="shared" si="11"/>
        <v>6.493554465348936</v>
      </c>
      <c r="X24" s="1">
        <f t="shared" si="11"/>
        <v>7.009121570221096</v>
      </c>
      <c r="Y24" s="1">
        <f t="shared" si="11"/>
        <v>7.526575264023121</v>
      </c>
      <c r="Z24" s="1">
        <f t="shared" si="11"/>
        <v>8.045960642437512</v>
      </c>
      <c r="AA24" s="1">
        <f t="shared" si="11"/>
        <v>8.567324983737446</v>
      </c>
      <c r="AB24" s="1">
        <f t="shared" si="11"/>
        <v>9.090717867684834</v>
      </c>
      <c r="AC24" s="1">
        <f t="shared" si="11"/>
        <v>9.616191303249815</v>
      </c>
      <c r="AD24" s="1">
        <f t="shared" si="11"/>
        <v>10.14379986594094</v>
      </c>
      <c r="AE24" s="1">
        <f t="shared" si="11"/>
        <v>10.673600845620273</v>
      </c>
      <c r="AF24" s="1">
        <f t="shared" si="11"/>
        <v>11.205654405773705</v>
      </c>
      <c r="AG24" s="1">
        <f t="shared" si="11"/>
        <v>11.740023755314203</v>
      </c>
      <c r="AH24" s="1">
        <f t="shared" si="11"/>
        <v>12.276775334118499</v>
      </c>
      <c r="AI24" s="1">
        <f t="shared" si="11"/>
        <v>12.815979013635566</v>
      </c>
      <c r="AJ24" s="1">
        <f t="shared" si="11"/>
        <v>13.35770831406241</v>
      </c>
      <c r="AK24" s="1">
        <f t="shared" si="11"/>
        <v>13.902040639761196</v>
      </c>
      <c r="AL24" s="1">
        <f t="shared" si="11"/>
        <v>14.449057534795177</v>
      </c>
      <c r="AM24" s="1">
        <f t="shared" si="11"/>
        <v>14.998844960694015</v>
      </c>
      <c r="AN24" s="1">
        <f t="shared" si="11"/>
        <v>15.551493598824237</v>
      </c>
      <c r="AO24" s="1">
        <f t="shared" si="11"/>
        <v>16.107099180048127</v>
      </c>
      <c r="AP24" s="1">
        <f t="shared" si="11"/>
        <v>16.66576284470494</v>
      </c>
      <c r="AQ24" s="1">
        <f t="shared" si="11"/>
        <v>17.22759153635582</v>
      </c>
      <c r="AR24" s="1">
        <f t="shared" si="11"/>
        <v>17.79269843320367</v>
      </c>
      <c r="AS24" s="1">
        <f t="shared" si="11"/>
        <v>18.36120342164549</v>
      </c>
      <c r="AT24" s="1">
        <f t="shared" si="11"/>
        <v>18.933233617050803</v>
      </c>
      <c r="AU24" s="1">
        <f t="shared" si="11"/>
        <v>19.50892393760229</v>
      </c>
      <c r="AV24" s="1">
        <f t="shared" si="11"/>
        <v>20.088417737904898</v>
      </c>
      <c r="AW24" s="1">
        <f t="shared" si="11"/>
        <v>20.67186751009347</v>
      </c>
      <c r="AX24" s="1">
        <f t="shared" si="11"/>
        <v>21.259435661376124</v>
      </c>
      <c r="AY24" s="1">
        <f t="shared" si="11"/>
        <v>21.851295378380982</v>
      </c>
      <c r="AZ24" s="1">
        <f t="shared" si="11"/>
        <v>22.447631590374655</v>
      </c>
      <c r="BA24" s="1">
        <f t="shared" si="11"/>
        <v>23.048642045450435</v>
      </c>
      <c r="BB24" s="1">
        <f t="shared" si="11"/>
        <v>23.654538516219922</v>
      </c>
      <c r="BC24" s="1">
        <f t="shared" si="11"/>
        <v>24.265548154472103</v>
      </c>
      <c r="BD24" s="1">
        <f t="shared" si="11"/>
        <v>24.8819150178129</v>
      </c>
      <c r="BE24" s="1">
        <f t="shared" si="11"/>
        <v>25.503901795612563</v>
      </c>
      <c r="BF24" s="1">
        <f t="shared" si="11"/>
        <v>26.1317917668625</v>
      </c>
    </row>
    <row r="25" spans="5:58" ht="12.75">
      <c r="E25" t="s">
        <v>15</v>
      </c>
      <c r="F25" s="1">
        <f>F18-$G$7*(F21+ASIN($L$9*(SIN($F$12*$F$5)*SQRT(($O$8/$L$9)^2-(SIN(F21*$F$5))^2)-COS($F$12*$F$5)*SIN(F21*$F$5)))/$F$5-$F$12)</f>
        <v>-2.02647592900896</v>
      </c>
      <c r="G25" s="1">
        <f aca="true" t="shared" si="12" ref="G25:BF25">G18-$G$7*(G21+ASIN($L$9*(SIN($F$12*$F$5)*SQRT(($O$8/$L$9)^2-(SIN(G21*$F$5))^2)-COS($F$12*$F$5)*SIN(G21*$F$5)))/$F$5-$F$12)</f>
        <v>-1.537915682705819</v>
      </c>
      <c r="H25" s="1">
        <f t="shared" si="12"/>
        <v>-1.047987925839017</v>
      </c>
      <c r="I25" s="1">
        <f t="shared" si="12"/>
        <v>-0.5566724735913162</v>
      </c>
      <c r="J25" s="1">
        <f t="shared" si="12"/>
        <v>-0.0639481286745962</v>
      </c>
      <c r="K25" s="1">
        <f t="shared" si="12"/>
        <v>0.43020735795884235</v>
      </c>
      <c r="L25" s="1">
        <f t="shared" si="12"/>
        <v>0.925817328857157</v>
      </c>
      <c r="M25" s="1">
        <f t="shared" si="12"/>
        <v>1.4229062644305168</v>
      </c>
      <c r="N25" s="1">
        <f t="shared" si="12"/>
        <v>1.9214998301164057</v>
      </c>
      <c r="O25" s="1">
        <f t="shared" si="12"/>
        <v>2.4216249265474117</v>
      </c>
      <c r="P25" s="1">
        <f t="shared" si="12"/>
        <v>2.923309742937323</v>
      </c>
      <c r="Q25" s="1">
        <f t="shared" si="12"/>
        <v>3.4265838139206837</v>
      </c>
      <c r="R25" s="1">
        <f t="shared" si="12"/>
        <v>3.9314780801017664</v>
      </c>
      <c r="S25" s="1">
        <f t="shared" si="12"/>
        <v>4.438024952591973</v>
      </c>
      <c r="T25" s="1">
        <f t="shared" si="12"/>
        <v>4.9462583818403525</v>
      </c>
      <c r="U25" s="1">
        <f t="shared" si="12"/>
        <v>5.456213931090358</v>
      </c>
      <c r="V25" s="1">
        <f t="shared" si="12"/>
        <v>5.967928854826884</v>
      </c>
      <c r="W25" s="1">
        <f t="shared" si="12"/>
        <v>6.4814421826125965</v>
      </c>
      <c r="X25" s="1">
        <f t="shared" si="12"/>
        <v>6.996794808751661</v>
      </c>
      <c r="Y25" s="1">
        <f t="shared" si="12"/>
        <v>7.514029588260616</v>
      </c>
      <c r="Z25" s="1">
        <f t="shared" si="12"/>
        <v>8.033191439675965</v>
      </c>
      <c r="AA25" s="1">
        <f t="shared" si="12"/>
        <v>8.554327455279468</v>
      </c>
      <c r="AB25" s="1">
        <f t="shared" si="12"/>
        <v>9.077487019383513</v>
      </c>
      <c r="AC25" s="1">
        <f t="shared" si="12"/>
        <v>9.602721935384846</v>
      </c>
      <c r="AD25" s="1">
        <f t="shared" si="12"/>
        <v>10.130086562370455</v>
      </c>
      <c r="AE25" s="1">
        <f t="shared" si="12"/>
        <v>10.659637962143666</v>
      </c>
      <c r="AF25" s="1">
        <f t="shared" si="12"/>
        <v>11.191436057633512</v>
      </c>
      <c r="AG25" s="1">
        <f t="shared" si="12"/>
        <v>11.725543803757596</v>
      </c>
      <c r="AH25" s="1">
        <f t="shared" si="12"/>
        <v>12.262027371929383</v>
      </c>
      <c r="AI25" s="1">
        <f t="shared" si="12"/>
        <v>12.800956349538886</v>
      </c>
      <c r="AJ25" s="1">
        <f t="shared" si="12"/>
        <v>13.342403955890202</v>
      </c>
      <c r="AK25" s="1">
        <f t="shared" si="12"/>
        <v>13.886447276257083</v>
      </c>
      <c r="AL25" s="1">
        <f t="shared" si="12"/>
        <v>14.433167515919383</v>
      </c>
      <c r="AM25" s="1">
        <f t="shared" si="12"/>
        <v>14.982650276273233</v>
      </c>
      <c r="AN25" s="1">
        <f t="shared" si="12"/>
        <v>15.534985855372394</v>
      </c>
      <c r="AO25" s="1">
        <f t="shared" si="12"/>
        <v>16.09026957556042</v>
      </c>
      <c r="AP25" s="1">
        <f t="shared" si="12"/>
        <v>16.64860214120294</v>
      </c>
      <c r="AQ25" s="1">
        <f t="shared" si="12"/>
        <v>17.21009002993099</v>
      </c>
      <c r="AR25" s="1">
        <f t="shared" si="12"/>
        <v>17.77484592127263</v>
      </c>
      <c r="AS25" s="1">
        <f t="shared" si="12"/>
        <v>18.342989167090657</v>
      </c>
      <c r="AT25" s="1">
        <f t="shared" si="12"/>
        <v>18.914646308873074</v>
      </c>
      <c r="AU25" s="1">
        <f t="shared" si="12"/>
        <v>19.48995164765869</v>
      </c>
      <c r="AV25" s="1">
        <f t="shared" si="12"/>
        <v>20.06904787324031</v>
      </c>
      <c r="AW25" s="1">
        <f t="shared" si="12"/>
        <v>20.65208676030089</v>
      </c>
      <c r="AX25" s="1">
        <f t="shared" si="12"/>
        <v>21.239229940331555</v>
      </c>
      <c r="AY25" s="1">
        <f t="shared" si="12"/>
        <v>21.83064975959464</v>
      </c>
      <c r="AZ25" s="1">
        <f t="shared" si="12"/>
        <v>22.426530235075525</v>
      </c>
      <c r="BA25" s="1">
        <f t="shared" si="12"/>
        <v>23.027068122373088</v>
      </c>
      <c r="BB25" s="1">
        <f t="shared" si="12"/>
        <v>23.632474111883685</v>
      </c>
      <c r="BC25" s="1">
        <f t="shared" si="12"/>
        <v>24.242974172528193</v>
      </c>
      <c r="BD25" s="1">
        <f t="shared" si="12"/>
        <v>24.858811065774844</v>
      </c>
      <c r="BE25" s="1">
        <f t="shared" si="12"/>
        <v>25.4802460569683</v>
      </c>
      <c r="BF25" s="1">
        <f t="shared" si="12"/>
        <v>26.10756085617882</v>
      </c>
    </row>
    <row r="26" spans="5:58" ht="12.75">
      <c r="E26" t="s">
        <v>14</v>
      </c>
      <c r="F26" s="1">
        <f>F19-$G$7*(F22+ASIN($M$9*(SIN($F$12*$F$5)*SQRT(($S$8/$M$9)^2-(SIN(F22*$F$5))^2)-COS($F$12*$F$5)*SIN(F22*$F$5)))/$F$5-$F$12)</f>
        <v>-2.04506992099299</v>
      </c>
      <c r="G26" s="1">
        <f aca="true" t="shared" si="13" ref="G26:BF26">G19-$G$7*(G22+ASIN($M$9*(SIN($F$12*$F$5)*SQRT(($S$8/$M$9)^2-(SIN(G22*$F$5))^2)-COS($F$12*$F$5)*SIN(G22*$F$5)))/$F$5-$F$12)</f>
        <v>-1.5560659854125234</v>
      </c>
      <c r="H26" s="1">
        <f t="shared" si="13"/>
        <v>-1.065693062717905</v>
      </c>
      <c r="I26" s="1">
        <f t="shared" si="13"/>
        <v>-0.5739307979283836</v>
      </c>
      <c r="J26" s="1">
        <f t="shared" si="13"/>
        <v>-0.08075781901101209</v>
      </c>
      <c r="K26" s="1">
        <f t="shared" si="13"/>
        <v>0.4138483026703277</v>
      </c>
      <c r="L26" s="1">
        <f t="shared" si="13"/>
        <v>0.9099110943755058</v>
      </c>
      <c r="M26" s="1">
        <f t="shared" si="13"/>
        <v>1.407455226647997</v>
      </c>
      <c r="N26" s="1">
        <f t="shared" si="13"/>
        <v>1.906506560798717</v>
      </c>
      <c r="O26" s="1">
        <f t="shared" si="13"/>
        <v>2.4070921994139978</v>
      </c>
      <c r="P26" s="1">
        <f t="shared" si="13"/>
        <v>2.9092405401056096</v>
      </c>
      <c r="Q26" s="1">
        <f t="shared" si="13"/>
        <v>3.412981332739604</v>
      </c>
      <c r="R26" s="1">
        <f t="shared" si="13"/>
        <v>3.9183457404024162</v>
      </c>
      <c r="S26" s="1">
        <f t="shared" si="13"/>
        <v>4.4253664043853425</v>
      </c>
      <c r="T26" s="1">
        <f t="shared" si="13"/>
        <v>4.934077513495127</v>
      </c>
      <c r="U26" s="1">
        <f t="shared" si="13"/>
        <v>5.444514878026035</v>
      </c>
      <c r="V26" s="1">
        <f t="shared" si="13"/>
        <v>5.95671600876137</v>
      </c>
      <c r="W26" s="1">
        <f t="shared" si="13"/>
        <v>6.47072020140671</v>
      </c>
      <c r="X26" s="1">
        <f t="shared" si="13"/>
        <v>6.986568626896622</v>
      </c>
      <c r="Y26" s="1">
        <f t="shared" si="13"/>
        <v>7.504304428059815</v>
      </c>
      <c r="Z26" s="1">
        <f t="shared" si="13"/>
        <v>8.023972823176189</v>
      </c>
      <c r="AA26" s="1">
        <f t="shared" si="13"/>
        <v>8.545621217013212</v>
      </c>
      <c r="AB26" s="1">
        <f t="shared" si="13"/>
        <v>9.069299319989314</v>
      </c>
      <c r="AC26" s="1">
        <f t="shared" si="13"/>
        <v>9.595059276179887</v>
      </c>
      <c r="AD26" s="1">
        <f t="shared" si="13"/>
        <v>10.122955800957103</v>
      </c>
      <c r="AE26" s="1">
        <f t="shared" si="13"/>
        <v>10.653046329140448</v>
      </c>
      <c r="AF26" s="1">
        <f t="shared" si="13"/>
        <v>11.185391174630169</v>
      </c>
      <c r="AG26" s="1">
        <f t="shared" si="13"/>
        <v>11.7200537026053</v>
      </c>
      <c r="AH26" s="1">
        <f t="shared" si="13"/>
        <v>12.257100515489242</v>
      </c>
      <c r="AI26" s="1">
        <f t="shared" si="13"/>
        <v>12.796601654025476</v>
      </c>
      <c r="AJ26" s="1">
        <f t="shared" si="13"/>
        <v>13.338630814963107</v>
      </c>
      <c r="AK26" s="1">
        <f t="shared" si="13"/>
        <v>13.88326558703093</v>
      </c>
      <c r="AL26" s="1">
        <f t="shared" si="13"/>
        <v>14.43058770708327</v>
      </c>
      <c r="AM26" s="1">
        <f t="shared" si="13"/>
        <v>14.980683338533733</v>
      </c>
      <c r="AN26" s="1">
        <f t="shared" si="13"/>
        <v>15.533643374460805</v>
      </c>
      <c r="AO26" s="1">
        <f t="shared" si="13"/>
        <v>16.089563768075607</v>
      </c>
      <c r="AP26" s="1">
        <f t="shared" si="13"/>
        <v>16.648545893595674</v>
      </c>
      <c r="AQ26" s="1">
        <f t="shared" si="13"/>
        <v>17.210696940976753</v>
      </c>
      <c r="AR26" s="1">
        <f t="shared" si="13"/>
        <v>17.77613034842583</v>
      </c>
      <c r="AS26" s="1">
        <f t="shared" si="13"/>
        <v>18.344966277167988</v>
      </c>
      <c r="AT26" s="1">
        <f t="shared" si="13"/>
        <v>18.917332133576387</v>
      </c>
      <c r="AU26" s="1">
        <f t="shared" si="13"/>
        <v>19.493363144521314</v>
      </c>
      <c r="AV26" s="1">
        <f t="shared" si="13"/>
        <v>20.073202992667085</v>
      </c>
      <c r="AW26" s="1">
        <f t="shared" si="13"/>
        <v>20.65700451947297</v>
      </c>
      <c r="AX26" s="1">
        <f t="shared" si="13"/>
        <v>21.24493050486655</v>
      </c>
      <c r="AY26" s="1">
        <f t="shared" si="13"/>
        <v>21.83715453399399</v>
      </c>
      <c r="AZ26" s="1">
        <f t="shared" si="13"/>
        <v>22.433861963158222</v>
      </c>
      <c r="BA26" s="1">
        <f t="shared" si="13"/>
        <v>23.035250999095965</v>
      </c>
      <c r="BB26" s="1">
        <f t="shared" si="13"/>
        <v>23.641533908187544</v>
      </c>
      <c r="BC26" s="1">
        <f t="shared" si="13"/>
        <v>24.25293837513899</v>
      </c>
      <c r="BD26" s="1">
        <f t="shared" si="13"/>
        <v>24.869709034237932</v>
      </c>
      <c r="BE26" s="1">
        <f t="shared" si="13"/>
        <v>25.49210920061968</v>
      </c>
      <c r="BF26" s="1">
        <f t="shared" si="13"/>
        <v>26.12042283427683</v>
      </c>
    </row>
    <row r="27" spans="5:58" ht="12.75">
      <c r="E27" s="1" t="s">
        <v>42</v>
      </c>
      <c r="F27" s="1">
        <f>($H$9+F24)*$H$7+$F$13/2</f>
        <v>-15.317469455187148</v>
      </c>
      <c r="G27" s="1">
        <f aca="true" t="shared" si="14" ref="G27:BF27">($H$9+G24)*$H$7+$F$13/2</f>
        <v>-14.828749416226533</v>
      </c>
      <c r="H27" s="1">
        <f t="shared" si="14"/>
        <v>-14.338659504268783</v>
      </c>
      <c r="I27" s="1">
        <f t="shared" si="14"/>
        <v>-13.847179447606937</v>
      </c>
      <c r="J27" s="1">
        <f t="shared" si="14"/>
        <v>-13.354287958831925</v>
      </c>
      <c r="K27" s="1">
        <f t="shared" si="14"/>
        <v>-12.859962695366324</v>
      </c>
      <c r="L27" s="1">
        <f t="shared" si="14"/>
        <v>-12.36418021753433</v>
      </c>
      <c r="M27" s="1">
        <f t="shared" si="14"/>
        <v>-11.866915943997792</v>
      </c>
      <c r="N27" s="1">
        <f t="shared" si="14"/>
        <v>-11.368144104374625</v>
      </c>
      <c r="O27" s="1">
        <f t="shared" si="14"/>
        <v>-10.867837688839504</v>
      </c>
      <c r="P27" s="1">
        <f t="shared" si="14"/>
        <v>-10.365968394489798</v>
      </c>
      <c r="Q27" s="1">
        <f t="shared" si="14"/>
        <v>-9.862506568240022</v>
      </c>
      <c r="R27" s="1">
        <f t="shared" si="14"/>
        <v>-9.357421145987612</v>
      </c>
      <c r="S27" s="1">
        <f t="shared" si="14"/>
        <v>-8.850679587768997</v>
      </c>
      <c r="T27" s="1">
        <f t="shared" si="14"/>
        <v>-8.342247808599389</v>
      </c>
      <c r="U27" s="1">
        <f t="shared" si="14"/>
        <v>-7.83209010466128</v>
      </c>
      <c r="V27" s="1">
        <f t="shared" si="14"/>
        <v>-7.320169074475256</v>
      </c>
      <c r="W27" s="1">
        <f t="shared" si="14"/>
        <v>-6.806445534651065</v>
      </c>
      <c r="X27" s="1">
        <f t="shared" si="14"/>
        <v>-6.290878429778907</v>
      </c>
      <c r="Y27" s="1">
        <f t="shared" si="14"/>
        <v>-5.7734247359768815</v>
      </c>
      <c r="Z27" s="1">
        <f t="shared" si="14"/>
        <v>-5.25403935756249</v>
      </c>
      <c r="AA27" s="1">
        <f t="shared" si="14"/>
        <v>-4.732675016262554</v>
      </c>
      <c r="AB27" s="1">
        <f t="shared" si="14"/>
        <v>-4.209282132315167</v>
      </c>
      <c r="AC27" s="1">
        <f t="shared" si="14"/>
        <v>-3.6838086967501837</v>
      </c>
      <c r="AD27" s="1">
        <f t="shared" si="14"/>
        <v>-3.1562001340590626</v>
      </c>
      <c r="AE27" s="1">
        <f t="shared" si="14"/>
        <v>-2.626399154379726</v>
      </c>
      <c r="AF27" s="1">
        <f t="shared" si="14"/>
        <v>-2.094345594226297</v>
      </c>
      <c r="AG27" s="1">
        <f t="shared" si="14"/>
        <v>-1.5599762446857994</v>
      </c>
      <c r="AH27" s="1">
        <f t="shared" si="14"/>
        <v>-1.0232246658815018</v>
      </c>
      <c r="AI27" s="1">
        <f t="shared" si="14"/>
        <v>-0.4840209863644347</v>
      </c>
      <c r="AJ27" s="1">
        <f t="shared" si="14"/>
        <v>0.05770831406240973</v>
      </c>
      <c r="AK27" s="1">
        <f t="shared" si="14"/>
        <v>0.6020406397611957</v>
      </c>
      <c r="AL27" s="1">
        <f t="shared" si="14"/>
        <v>1.1490575347951761</v>
      </c>
      <c r="AM27" s="1">
        <f t="shared" si="14"/>
        <v>1.6988449606940144</v>
      </c>
      <c r="AN27" s="1">
        <f t="shared" si="14"/>
        <v>2.2514935988242364</v>
      </c>
      <c r="AO27" s="1">
        <f t="shared" si="14"/>
        <v>2.8070991800481266</v>
      </c>
      <c r="AP27" s="1">
        <f t="shared" si="14"/>
        <v>3.365762844704939</v>
      </c>
      <c r="AQ27" s="1">
        <f t="shared" si="14"/>
        <v>3.92759153635582</v>
      </c>
      <c r="AR27" s="1">
        <f t="shared" si="14"/>
        <v>4.492698433203671</v>
      </c>
      <c r="AS27" s="1">
        <f t="shared" si="14"/>
        <v>5.061203421645491</v>
      </c>
      <c r="AT27" s="1">
        <f t="shared" si="14"/>
        <v>5.633233617050802</v>
      </c>
      <c r="AU27" s="1">
        <f t="shared" si="14"/>
        <v>6.2089239376022896</v>
      </c>
      <c r="AV27" s="1">
        <f t="shared" si="14"/>
        <v>6.788417737904897</v>
      </c>
      <c r="AW27" s="1">
        <f t="shared" si="14"/>
        <v>7.37186751009347</v>
      </c>
      <c r="AX27" s="1">
        <f t="shared" si="14"/>
        <v>7.959435661376123</v>
      </c>
      <c r="AY27" s="1">
        <f t="shared" si="14"/>
        <v>8.551295378380981</v>
      </c>
      <c r="AZ27" s="1">
        <f t="shared" si="14"/>
        <v>9.147631590374655</v>
      </c>
      <c r="BA27" s="1">
        <f t="shared" si="14"/>
        <v>9.748642045450435</v>
      </c>
      <c r="BB27" s="1">
        <f t="shared" si="14"/>
        <v>10.354538516219922</v>
      </c>
      <c r="BC27" s="1">
        <f t="shared" si="14"/>
        <v>10.965548154472103</v>
      </c>
      <c r="BD27" s="1">
        <f t="shared" si="14"/>
        <v>11.5819150178129</v>
      </c>
      <c r="BE27" s="1">
        <f t="shared" si="14"/>
        <v>12.203901795612563</v>
      </c>
      <c r="BF27" s="1">
        <f t="shared" si="14"/>
        <v>12.831791766862498</v>
      </c>
    </row>
    <row r="28" spans="5:58" ht="12.75">
      <c r="E28" s="1" t="s">
        <v>43</v>
      </c>
      <c r="F28" s="1">
        <f>($H$9+F25)*$H$7+$F$13/2</f>
        <v>-15.32647592900896</v>
      </c>
      <c r="G28" s="1">
        <f aca="true" t="shared" si="15" ref="G28:BF28">($H$9+G25)*$H$7+$F$13/2</f>
        <v>-14.83791568270582</v>
      </c>
      <c r="H28" s="1">
        <f t="shared" si="15"/>
        <v>-14.347987925839018</v>
      </c>
      <c r="I28" s="1">
        <f t="shared" si="15"/>
        <v>-13.856672473591317</v>
      </c>
      <c r="J28" s="1">
        <f t="shared" si="15"/>
        <v>-13.363948128674597</v>
      </c>
      <c r="K28" s="1">
        <f t="shared" si="15"/>
        <v>-12.869792642041158</v>
      </c>
      <c r="L28" s="1">
        <f t="shared" si="15"/>
        <v>-12.374182671142844</v>
      </c>
      <c r="M28" s="1">
        <f t="shared" si="15"/>
        <v>-11.877093735569485</v>
      </c>
      <c r="N28" s="1">
        <f t="shared" si="15"/>
        <v>-11.378500169883594</v>
      </c>
      <c r="O28" s="1">
        <f t="shared" si="15"/>
        <v>-10.878375073452588</v>
      </c>
      <c r="P28" s="1">
        <f t="shared" si="15"/>
        <v>-10.376690257062677</v>
      </c>
      <c r="Q28" s="1">
        <f t="shared" si="15"/>
        <v>-9.873416186079318</v>
      </c>
      <c r="R28" s="1">
        <f t="shared" si="15"/>
        <v>-9.368521919898235</v>
      </c>
      <c r="S28" s="1">
        <f t="shared" si="15"/>
        <v>-8.861975047408027</v>
      </c>
      <c r="T28" s="1">
        <f t="shared" si="15"/>
        <v>-8.353741618159649</v>
      </c>
      <c r="U28" s="1">
        <f t="shared" si="15"/>
        <v>-7.843786068909644</v>
      </c>
      <c r="V28" s="1">
        <f t="shared" si="15"/>
        <v>-7.332071145173117</v>
      </c>
      <c r="W28" s="1">
        <f t="shared" si="15"/>
        <v>-6.818557817387404</v>
      </c>
      <c r="X28" s="1">
        <f t="shared" si="15"/>
        <v>-6.303205191248338</v>
      </c>
      <c r="Y28" s="1">
        <f t="shared" si="15"/>
        <v>-5.785970411739385</v>
      </c>
      <c r="Z28" s="1">
        <f t="shared" si="15"/>
        <v>-5.266808560324037</v>
      </c>
      <c r="AA28" s="1">
        <f t="shared" si="15"/>
        <v>-4.745672544720534</v>
      </c>
      <c r="AB28" s="1">
        <f t="shared" si="15"/>
        <v>-4.222512980616486</v>
      </c>
      <c r="AC28" s="1">
        <f t="shared" si="15"/>
        <v>-3.697278064615155</v>
      </c>
      <c r="AD28" s="1">
        <f t="shared" si="15"/>
        <v>-3.169913437629546</v>
      </c>
      <c r="AE28" s="1">
        <f t="shared" si="15"/>
        <v>-2.6403620378563346</v>
      </c>
      <c r="AF28" s="1">
        <f t="shared" si="15"/>
        <v>-2.1085639423664873</v>
      </c>
      <c r="AG28" s="1">
        <f t="shared" si="15"/>
        <v>-1.574456196242405</v>
      </c>
      <c r="AH28" s="1">
        <f t="shared" si="15"/>
        <v>-1.0379726280706176</v>
      </c>
      <c r="AI28" s="1">
        <f t="shared" si="15"/>
        <v>-0.49904365046111465</v>
      </c>
      <c r="AJ28" s="1">
        <f t="shared" si="15"/>
        <v>0.04240395589020096</v>
      </c>
      <c r="AK28" s="1">
        <f t="shared" si="15"/>
        <v>0.5864472762570827</v>
      </c>
      <c r="AL28" s="1">
        <f t="shared" si="15"/>
        <v>1.1331675159193821</v>
      </c>
      <c r="AM28" s="1">
        <f t="shared" si="15"/>
        <v>1.6826502762732325</v>
      </c>
      <c r="AN28" s="1">
        <f t="shared" si="15"/>
        <v>2.2349858553723934</v>
      </c>
      <c r="AO28" s="1">
        <f t="shared" si="15"/>
        <v>2.790269575560419</v>
      </c>
      <c r="AP28" s="1">
        <f t="shared" si="15"/>
        <v>3.3486021412029388</v>
      </c>
      <c r="AQ28" s="1">
        <f t="shared" si="15"/>
        <v>3.9100900299309878</v>
      </c>
      <c r="AR28" s="1">
        <f t="shared" si="15"/>
        <v>4.474845921272628</v>
      </c>
      <c r="AS28" s="1">
        <f t="shared" si="15"/>
        <v>5.042989167090656</v>
      </c>
      <c r="AT28" s="1">
        <f t="shared" si="15"/>
        <v>5.614646308873073</v>
      </c>
      <c r="AU28" s="1">
        <f t="shared" si="15"/>
        <v>6.189951647658688</v>
      </c>
      <c r="AV28" s="1">
        <f t="shared" si="15"/>
        <v>6.769047873240311</v>
      </c>
      <c r="AW28" s="1">
        <f t="shared" si="15"/>
        <v>7.352086760300889</v>
      </c>
      <c r="AX28" s="1">
        <f t="shared" si="15"/>
        <v>7.939229940331554</v>
      </c>
      <c r="AY28" s="1">
        <f t="shared" si="15"/>
        <v>8.530649759594638</v>
      </c>
      <c r="AZ28" s="1">
        <f t="shared" si="15"/>
        <v>9.126530235075524</v>
      </c>
      <c r="BA28" s="1">
        <f t="shared" si="15"/>
        <v>9.727068122373087</v>
      </c>
      <c r="BB28" s="1">
        <f t="shared" si="15"/>
        <v>10.332474111883684</v>
      </c>
      <c r="BC28" s="1">
        <f t="shared" si="15"/>
        <v>10.942974172528192</v>
      </c>
      <c r="BD28" s="1">
        <f t="shared" si="15"/>
        <v>11.558811065774844</v>
      </c>
      <c r="BE28" s="1">
        <f t="shared" si="15"/>
        <v>12.1802460569683</v>
      </c>
      <c r="BF28" s="1">
        <f t="shared" si="15"/>
        <v>12.80756085617882</v>
      </c>
    </row>
    <row r="29" spans="5:58" ht="12.75">
      <c r="E29" s="1" t="s">
        <v>44</v>
      </c>
      <c r="F29" s="1">
        <f>($H$9+F26)*$H$7+$F$13/2</f>
        <v>-15.34506992099299</v>
      </c>
      <c r="G29" s="1">
        <f aca="true" t="shared" si="16" ref="G29:BF29">($H$9+G26)*$H$7+$F$13/2</f>
        <v>-14.856065985412524</v>
      </c>
      <c r="H29" s="1">
        <f t="shared" si="16"/>
        <v>-14.365693062717906</v>
      </c>
      <c r="I29" s="1">
        <f t="shared" si="16"/>
        <v>-13.873930797928384</v>
      </c>
      <c r="J29" s="1">
        <f t="shared" si="16"/>
        <v>-13.380757819011013</v>
      </c>
      <c r="K29" s="1">
        <f t="shared" si="16"/>
        <v>-12.886151697329673</v>
      </c>
      <c r="L29" s="1">
        <f t="shared" si="16"/>
        <v>-12.390088905624495</v>
      </c>
      <c r="M29" s="1">
        <f t="shared" si="16"/>
        <v>-11.892544773352004</v>
      </c>
      <c r="N29" s="1">
        <f t="shared" si="16"/>
        <v>-11.393493439201283</v>
      </c>
      <c r="O29" s="1">
        <f t="shared" si="16"/>
        <v>-10.892907800586002</v>
      </c>
      <c r="P29" s="1">
        <f t="shared" si="16"/>
        <v>-10.39075945989439</v>
      </c>
      <c r="Q29" s="1">
        <f t="shared" si="16"/>
        <v>-9.887018667260396</v>
      </c>
      <c r="R29" s="1">
        <f t="shared" si="16"/>
        <v>-9.381654259597585</v>
      </c>
      <c r="S29" s="1">
        <f t="shared" si="16"/>
        <v>-8.874633595614657</v>
      </c>
      <c r="T29" s="1">
        <f t="shared" si="16"/>
        <v>-8.365922486504875</v>
      </c>
      <c r="U29" s="1">
        <f t="shared" si="16"/>
        <v>-7.855485121973967</v>
      </c>
      <c r="V29" s="1">
        <f t="shared" si="16"/>
        <v>-7.3432839912386285</v>
      </c>
      <c r="W29" s="1">
        <f t="shared" si="16"/>
        <v>-6.829279798593291</v>
      </c>
      <c r="X29" s="1">
        <f t="shared" si="16"/>
        <v>-6.313431373103377</v>
      </c>
      <c r="Y29" s="1">
        <f t="shared" si="16"/>
        <v>-5.795695571940186</v>
      </c>
      <c r="Z29" s="1">
        <f t="shared" si="16"/>
        <v>-5.27602717682381</v>
      </c>
      <c r="AA29" s="1">
        <f t="shared" si="16"/>
        <v>-4.754378782986791</v>
      </c>
      <c r="AB29" s="1">
        <f t="shared" si="16"/>
        <v>-4.230700680010685</v>
      </c>
      <c r="AC29" s="1">
        <f t="shared" si="16"/>
        <v>-3.7049407238201155</v>
      </c>
      <c r="AD29" s="1">
        <f t="shared" si="16"/>
        <v>-3.1770441990428964</v>
      </c>
      <c r="AE29" s="1">
        <f t="shared" si="16"/>
        <v>-2.6469536708595527</v>
      </c>
      <c r="AF29" s="1">
        <f t="shared" si="16"/>
        <v>-2.1146088253698316</v>
      </c>
      <c r="AG29" s="1">
        <f t="shared" si="16"/>
        <v>-1.5799462973946987</v>
      </c>
      <c r="AH29" s="1">
        <f t="shared" si="16"/>
        <v>-1.0428994845107589</v>
      </c>
      <c r="AI29" s="1">
        <f t="shared" si="16"/>
        <v>-0.5033983459745244</v>
      </c>
      <c r="AJ29" s="1">
        <f t="shared" si="16"/>
        <v>0.038630814963106275</v>
      </c>
      <c r="AK29" s="1">
        <f t="shared" si="16"/>
        <v>0.5832655870309296</v>
      </c>
      <c r="AL29" s="1">
        <f t="shared" si="16"/>
        <v>1.1305877070832686</v>
      </c>
      <c r="AM29" s="1">
        <f t="shared" si="16"/>
        <v>1.6806833385337328</v>
      </c>
      <c r="AN29" s="1">
        <f t="shared" si="16"/>
        <v>2.2336433744608044</v>
      </c>
      <c r="AO29" s="1">
        <f t="shared" si="16"/>
        <v>2.789563768075606</v>
      </c>
      <c r="AP29" s="1">
        <f t="shared" si="16"/>
        <v>3.3485458935956736</v>
      </c>
      <c r="AQ29" s="1">
        <f t="shared" si="16"/>
        <v>3.9106969409767522</v>
      </c>
      <c r="AR29" s="1">
        <f t="shared" si="16"/>
        <v>4.47613034842583</v>
      </c>
      <c r="AS29" s="1">
        <f t="shared" si="16"/>
        <v>5.044966277167987</v>
      </c>
      <c r="AT29" s="1">
        <f t="shared" si="16"/>
        <v>5.617332133576387</v>
      </c>
      <c r="AU29" s="1">
        <f t="shared" si="16"/>
        <v>6.193363144521314</v>
      </c>
      <c r="AV29" s="1">
        <f t="shared" si="16"/>
        <v>6.773202992667084</v>
      </c>
      <c r="AW29" s="1">
        <f t="shared" si="16"/>
        <v>7.357004519472969</v>
      </c>
      <c r="AX29" s="1">
        <f t="shared" si="16"/>
        <v>7.944930504866548</v>
      </c>
      <c r="AY29" s="1">
        <f t="shared" si="16"/>
        <v>8.537154533993988</v>
      </c>
      <c r="AZ29" s="1">
        <f t="shared" si="16"/>
        <v>9.133861963158221</v>
      </c>
      <c r="BA29" s="1">
        <f t="shared" si="16"/>
        <v>9.735250999095964</v>
      </c>
      <c r="BB29" s="1">
        <f t="shared" si="16"/>
        <v>10.341533908187543</v>
      </c>
      <c r="BC29" s="1">
        <f t="shared" si="16"/>
        <v>10.952938375138988</v>
      </c>
      <c r="BD29" s="1">
        <f t="shared" si="16"/>
        <v>11.569709034237931</v>
      </c>
      <c r="BE29" s="1">
        <f t="shared" si="16"/>
        <v>12.19210920061968</v>
      </c>
      <c r="BF29" s="1">
        <f t="shared" si="16"/>
        <v>12.82042283427683</v>
      </c>
    </row>
    <row r="30" spans="5:58" ht="12.75">
      <c r="E30" s="1" t="s">
        <v>114</v>
      </c>
      <c r="F30" s="1">
        <f>(ASIN(SIN(F27*$F$5)/$L$8)/$F$5-$F$13/2)/$H$7-$H$9</f>
        <v>2.9631744126423634</v>
      </c>
      <c r="G30" s="1">
        <f aca="true" t="shared" si="17" ref="G30:BF30">(ASIN(SIN(G27*$F$5)/$L$8)/$F$5-$F$13/2)/$H$7-$H$9</f>
        <v>3.2888346773187394</v>
      </c>
      <c r="H30" s="1">
        <f t="shared" si="17"/>
        <v>3.615818194141408</v>
      </c>
      <c r="I30" s="1">
        <f t="shared" si="17"/>
        <v>3.9441274238217083</v>
      </c>
      <c r="J30" s="1">
        <f t="shared" si="17"/>
        <v>4.273765426731153</v>
      </c>
      <c r="K30" s="1">
        <f t="shared" si="17"/>
        <v>4.604735885127102</v>
      </c>
      <c r="L30" s="1">
        <f t="shared" si="17"/>
        <v>4.937043126657226</v>
      </c>
      <c r="M30" s="1">
        <f t="shared" si="17"/>
        <v>5.270692149237025</v>
      </c>
      <c r="N30" s="1">
        <f t="shared" si="17"/>
        <v>5.605688647401838</v>
      </c>
      <c r="O30" s="1">
        <f t="shared" si="17"/>
        <v>5.942039040243436</v>
      </c>
      <c r="P30" s="1">
        <f t="shared" si="17"/>
        <v>6.279750501050483</v>
      </c>
      <c r="Q30" s="1">
        <f t="shared" si="17"/>
        <v>6.6188309887823955</v>
      </c>
      <c r="R30" s="1">
        <f t="shared" si="17"/>
        <v>6.959289281517233</v>
      </c>
      <c r="S30" s="1">
        <f t="shared" si="17"/>
        <v>7.301135012026805</v>
      </c>
      <c r="T30" s="1">
        <f t="shared" si="17"/>
        <v>7.644378705645899</v>
      </c>
      <c r="U30" s="1">
        <f t="shared" si="17"/>
        <v>7.989031820617615</v>
      </c>
      <c r="V30" s="1">
        <f t="shared" si="17"/>
        <v>8.335106791113496</v>
      </c>
      <c r="W30" s="1">
        <f t="shared" si="17"/>
        <v>8.682617073146265</v>
      </c>
      <c r="X30" s="1">
        <f t="shared" si="17"/>
        <v>9.031577193613064</v>
      </c>
      <c r="Y30" s="1">
        <f t="shared" si="17"/>
        <v>9.382002802730671</v>
      </c>
      <c r="Z30" s="1">
        <f t="shared" si="17"/>
        <v>9.733910730149734</v>
      </c>
      <c r="AA30" s="1">
        <f t="shared" si="17"/>
        <v>10.087319045063488</v>
      </c>
      <c r="AB30" s="1">
        <f t="shared" si="17"/>
        <v>10.442247120658955</v>
      </c>
      <c r="AC30" s="1">
        <f t="shared" si="17"/>
        <v>10.798715703294206</v>
      </c>
      <c r="AD30" s="1">
        <f t="shared" si="17"/>
        <v>11.15674698682562</v>
      </c>
      <c r="AE30" s="1">
        <f t="shared" si="17"/>
        <v>11.516364692554408</v>
      </c>
      <c r="AF30" s="1">
        <f t="shared" si="17"/>
        <v>11.877594155312629</v>
      </c>
      <c r="AG30" s="1">
        <f t="shared" si="17"/>
        <v>12.240462416266244</v>
      </c>
      <c r="AH30" s="1">
        <f t="shared" si="17"/>
        <v>12.604998323077865</v>
      </c>
      <c r="AI30" s="1">
        <f t="shared" si="17"/>
        <v>12.971232638145267</v>
      </c>
      <c r="AJ30" s="1">
        <f t="shared" si="17"/>
        <v>13.339198155715193</v>
      </c>
      <c r="AK30" s="1">
        <f t="shared" si="17"/>
        <v>13.708929828766802</v>
      </c>
      <c r="AL30" s="1">
        <f t="shared" si="17"/>
        <v>14.080464906667077</v>
      </c>
      <c r="AM30" s="1">
        <f t="shared" si="17"/>
        <v>14.453843084724426</v>
      </c>
      <c r="AN30" s="1">
        <f t="shared" si="17"/>
        <v>14.829106666907089</v>
      </c>
      <c r="AO30" s="1">
        <f t="shared" si="17"/>
        <v>15.206300743156369</v>
      </c>
      <c r="AP30" s="1">
        <f t="shared" si="17"/>
        <v>15.58547338291034</v>
      </c>
      <c r="AQ30" s="1">
        <f t="shared" si="17"/>
        <v>15.966675846669727</v>
      </c>
      <c r="AR30" s="1">
        <f t="shared" si="17"/>
        <v>16.349962817686407</v>
      </c>
      <c r="AS30" s="1">
        <f t="shared" si="17"/>
        <v>16.735392656144256</v>
      </c>
      <c r="AT30" s="1">
        <f t="shared" si="17"/>
        <v>17.123027678538634</v>
      </c>
      <c r="AU30" s="1">
        <f t="shared" si="17"/>
        <v>17.512934465353545</v>
      </c>
      <c r="AV30" s="1">
        <f t="shared" si="17"/>
        <v>17.905184200595397</v>
      </c>
      <c r="AW30" s="1">
        <f t="shared" si="17"/>
        <v>18.299853047283523</v>
      </c>
      <c r="AX30" s="1">
        <f t="shared" si="17"/>
        <v>18.697022563634974</v>
      </c>
      <c r="AY30" s="1">
        <f t="shared" si="17"/>
        <v>19.09678016543633</v>
      </c>
      <c r="AZ30" s="1">
        <f t="shared" si="17"/>
        <v>19.49921964099276</v>
      </c>
      <c r="BA30" s="1">
        <f t="shared" si="17"/>
        <v>19.904441726114825</v>
      </c>
      <c r="BB30" s="1">
        <f t="shared" si="17"/>
        <v>20.31255474788771</v>
      </c>
      <c r="BC30" s="1">
        <f t="shared" si="17"/>
        <v>20.7236753475113</v>
      </c>
      <c r="BD30" s="1">
        <f t="shared" si="17"/>
        <v>21.13792929436869</v>
      </c>
      <c r="BE30" s="1">
        <f t="shared" si="17"/>
        <v>21.555452405751492</v>
      </c>
      <c r="BF30" s="1">
        <f t="shared" si="17"/>
        <v>21.976391589445115</v>
      </c>
    </row>
    <row r="31" spans="5:58" ht="12.75">
      <c r="E31" s="1" t="s">
        <v>39</v>
      </c>
      <c r="F31" s="1">
        <f>F24-$H$7*(F27+ASIN(1/$K$9*(SIN($F$13*$F$5)*SQRT($L$8^2-(SIN(F27*$F$5))^2)-COS($F$13*$F$5)*SIN(F27*$F$5)))/$F$5-$F$13)</f>
        <v>3.7590880627087593</v>
      </c>
      <c r="G31" s="1">
        <f aca="true" t="shared" si="18" ref="G31:BF31">G24-$H$7*(G27+ASIN(1/$K$9*(SIN($F$13*$F$5)*SQRT($L$8^2-(SIN(G27*$F$5))^2)-COS($F$13*$F$5)*SIN(G27*$F$5)))/$F$5-$F$13)</f>
        <v>4.075664671561125</v>
      </c>
      <c r="H31" s="1">
        <f t="shared" si="18"/>
        <v>4.3936079559843755</v>
      </c>
      <c r="I31" s="1">
        <f t="shared" si="18"/>
        <v>4.712919673428164</v>
      </c>
      <c r="J31" s="1">
        <f t="shared" si="18"/>
        <v>5.033602169360318</v>
      </c>
      <c r="K31" s="1">
        <f t="shared" si="18"/>
        <v>5.3556583994769404</v>
      </c>
      <c r="L31" s="1">
        <f t="shared" si="18"/>
        <v>5.679091953153819</v>
      </c>
      <c r="M31" s="1">
        <f t="shared" si="18"/>
        <v>6.003907078232732</v>
      </c>
      <c r="N31" s="1">
        <f t="shared" si="18"/>
        <v>6.330108707242341</v>
      </c>
      <c r="O31" s="1">
        <f t="shared" si="18"/>
        <v>6.657702485162775</v>
      </c>
      <c r="P31" s="1">
        <f t="shared" si="18"/>
        <v>6.98669479885142</v>
      </c>
      <c r="Q31" s="1">
        <f t="shared" si="18"/>
        <v>7.317092808257965</v>
      </c>
      <c r="R31" s="1">
        <f t="shared" si="18"/>
        <v>7.648904479567077</v>
      </c>
      <c r="S31" s="1">
        <f t="shared" si="18"/>
        <v>7.982138620420069</v>
      </c>
      <c r="T31" s="1">
        <f t="shared" si="18"/>
        <v>8.316804917379944</v>
      </c>
      <c r="U31" s="1">
        <f t="shared" si="18"/>
        <v>8.652913975819079</v>
      </c>
      <c r="V31" s="1">
        <f t="shared" si="18"/>
        <v>8.990477362425498</v>
      </c>
      <c r="W31" s="1">
        <f t="shared" si="18"/>
        <v>9.329507650542116</v>
      </c>
      <c r="X31" s="1">
        <f t="shared" si="18"/>
        <v>9.670018468573273</v>
      </c>
      <c r="Y31" s="1">
        <f t="shared" si="18"/>
        <v>10.01202455171608</v>
      </c>
      <c r="Z31" s="1">
        <f t="shared" si="18"/>
        <v>10.355541797299024</v>
      </c>
      <c r="AA31" s="1">
        <f t="shared" si="18"/>
        <v>10.700587324038512</v>
      </c>
      <c r="AB31" s="1">
        <f t="shared" si="18"/>
        <v>11.047179535555578</v>
      </c>
      <c r="AC31" s="1">
        <f t="shared" si="18"/>
        <v>11.39533818853056</v>
      </c>
      <c r="AD31" s="1">
        <f t="shared" si="18"/>
        <v>11.745084465912518</v>
      </c>
      <c r="AE31" s="1">
        <f t="shared" si="18"/>
        <v>12.096441055645313</v>
      </c>
      <c r="AF31" s="1">
        <f t="shared" si="18"/>
        <v>12.44943223542195</v>
      </c>
      <c r="AG31" s="1">
        <f t="shared" si="18"/>
        <v>12.804083964035444</v>
      </c>
      <c r="AH31" s="1">
        <f t="shared" si="18"/>
        <v>13.160423979958162</v>
      </c>
      <c r="AI31" s="1">
        <f t="shared" si="18"/>
        <v>13.518481907853975</v>
      </c>
      <c r="AJ31" s="1">
        <f t="shared" si="18"/>
        <v>13.8782893738096</v>
      </c>
      <c r="AK31" s="1">
        <f t="shared" si="18"/>
        <v>14.23988013016444</v>
      </c>
      <c r="AL31" s="1">
        <f t="shared" si="18"/>
        <v>14.603290190924856</v>
      </c>
      <c r="AM31" s="1">
        <f t="shared" si="18"/>
        <v>14.968557978870038</v>
      </c>
      <c r="AN31" s="1">
        <f t="shared" si="18"/>
        <v>15.335724485595154</v>
      </c>
      <c r="AO31" s="1">
        <f t="shared" si="18"/>
        <v>15.70483344589774</v>
      </c>
      <c r="AP31" s="1">
        <f t="shared" si="18"/>
        <v>16.075931528095875</v>
      </c>
      <c r="AQ31" s="1">
        <f t="shared" si="18"/>
        <v>16.449068542079303</v>
      </c>
      <c r="AR31" s="1">
        <f t="shared" si="18"/>
        <v>16.824297667138612</v>
      </c>
      <c r="AS31" s="1">
        <f t="shared" si="18"/>
        <v>17.201675701902726</v>
      </c>
      <c r="AT31" s="1">
        <f t="shared" si="18"/>
        <v>17.581263339045076</v>
      </c>
      <c r="AU31" s="1">
        <f t="shared" si="18"/>
        <v>17.9631254678055</v>
      </c>
      <c r="AV31" s="1">
        <f t="shared" si="18"/>
        <v>18.34733150782659</v>
      </c>
      <c r="AW31" s="1">
        <f t="shared" si="18"/>
        <v>18.73395577833554</v>
      </c>
      <c r="AX31" s="1">
        <f t="shared" si="18"/>
        <v>19.12307790732888</v>
      </c>
      <c r="AY31" s="1">
        <f t="shared" si="18"/>
        <v>19.5147832861601</v>
      </c>
      <c r="AZ31" s="1">
        <f t="shared" si="18"/>
        <v>19.90916357581228</v>
      </c>
      <c r="BA31" s="1">
        <f t="shared" si="18"/>
        <v>20.306317272190075</v>
      </c>
      <c r="BB31" s="1">
        <f t="shared" si="18"/>
        <v>20.706350339027694</v>
      </c>
      <c r="BC31" s="1">
        <f t="shared" si="18"/>
        <v>21.109376918527158</v>
      </c>
      <c r="BD31" s="1">
        <f t="shared" si="18"/>
        <v>21.515520131678528</v>
      </c>
      <c r="BE31" s="1">
        <f t="shared" si="18"/>
        <v>21.924912982446067</v>
      </c>
      <c r="BF31" s="1">
        <f t="shared" si="18"/>
        <v>22.337699382732033</v>
      </c>
    </row>
    <row r="32" spans="5:58" ht="12.75">
      <c r="E32" s="1" t="s">
        <v>40</v>
      </c>
      <c r="F32" s="1">
        <f>F25-$H$7*(F28+ASIN(1/$L$9*(SIN($F$13*$F$5)*SQRT($P$8^2-(SIN(F28*$F$5))^2)-COS($F$13*$F$5)*SIN(F28*$F$5)))/$F$5-$F$13)</f>
        <v>3.7407111951507908</v>
      </c>
      <c r="G32" s="1">
        <f aca="true" t="shared" si="19" ref="G32:BF32">G25-$H$7*(G28+ASIN(1/$L$9*(SIN($F$13*$F$5)*SQRT($P$8^2-(SIN(G28*$F$5))^2)-COS($F$13*$F$5)*SIN(G28*$F$5)))/$F$5-$F$13)</f>
        <v>4.05764454322949</v>
      </c>
      <c r="H32" s="1">
        <f t="shared" si="19"/>
        <v>4.375944514412513</v>
      </c>
      <c r="I32" s="1">
        <f t="shared" si="19"/>
        <v>4.695612835947994</v>
      </c>
      <c r="J32" s="1">
        <f t="shared" si="19"/>
        <v>5.016651822708074</v>
      </c>
      <c r="K32" s="1">
        <f t="shared" si="19"/>
        <v>5.339064399340938</v>
      </c>
      <c r="L32" s="1">
        <f t="shared" si="19"/>
        <v>5.662854123660754</v>
      </c>
      <c r="M32" s="1">
        <f t="shared" si="19"/>
        <v>5.988025211367945</v>
      </c>
      <c r="N32" s="1">
        <f t="shared" si="19"/>
        <v>6.314582562199777</v>
      </c>
      <c r="O32" s="1">
        <f t="shared" si="19"/>
        <v>6.6425317876197125</v>
      </c>
      <c r="P32" s="1">
        <f t="shared" si="19"/>
        <v>6.971879240162667</v>
      </c>
      <c r="Q32" s="1">
        <f t="shared" si="19"/>
        <v>7.302632044563379</v>
      </c>
      <c r="R32" s="1">
        <f t="shared" si="19"/>
        <v>7.634798130806449</v>
      </c>
      <c r="S32" s="1">
        <f t="shared" si="19"/>
        <v>7.968386269248266</v>
      </c>
      <c r="T32" s="1">
        <f t="shared" si="19"/>
        <v>8.303406107974407</v>
      </c>
      <c r="U32" s="1">
        <f t="shared" si="19"/>
        <v>8.639868212571674</v>
      </c>
      <c r="V32" s="1">
        <f t="shared" si="19"/>
        <v>8.977784108509372</v>
      </c>
      <c r="W32" s="1">
        <f t="shared" si="19"/>
        <v>9.317166326343273</v>
      </c>
      <c r="X32" s="1">
        <f t="shared" si="19"/>
        <v>9.65802844997596</v>
      </c>
      <c r="Y32" s="1">
        <f t="shared" si="19"/>
        <v>10.000385168229517</v>
      </c>
      <c r="Z32" s="1">
        <f t="shared" si="19"/>
        <v>10.344252330011772</v>
      </c>
      <c r="AA32" s="1">
        <f t="shared" si="19"/>
        <v>10.689647003385739</v>
      </c>
      <c r="AB32" s="1">
        <f t="shared" si="19"/>
        <v>11.036587538882207</v>
      </c>
      <c r="AC32" s="1">
        <f t="shared" si="19"/>
        <v>11.385093637431957</v>
      </c>
      <c r="AD32" s="1">
        <f t="shared" si="19"/>
        <v>11.735186423332024</v>
      </c>
      <c r="AE32" s="1">
        <f t="shared" si="19"/>
        <v>12.086888522705774</v>
      </c>
      <c r="AF32" s="1">
        <f t="shared" si="19"/>
        <v>12.440224147965663</v>
      </c>
      <c r="AG32" s="1">
        <f t="shared" si="19"/>
        <v>12.795219188843856</v>
      </c>
      <c r="AH32" s="1">
        <f t="shared" si="19"/>
        <v>13.151901310619477</v>
      </c>
      <c r="AI32" s="1">
        <f t="shared" si="19"/>
        <v>13.51030006024271</v>
      </c>
      <c r="AJ32" s="1">
        <f t="shared" si="19"/>
        <v>13.870446981137924</v>
      </c>
      <c r="AK32" s="1">
        <f t="shared" si="19"/>
        <v>14.232375737559906</v>
      </c>
      <c r="AL32" s="1">
        <f t="shared" si="19"/>
        <v>14.596122249483514</v>
      </c>
      <c r="AM32" s="1">
        <f t="shared" si="19"/>
        <v>14.961724839127033</v>
      </c>
      <c r="AN32" s="1">
        <f t="shared" si="19"/>
        <v>15.329224390347722</v>
      </c>
      <c r="AO32" s="1">
        <f t="shared" si="19"/>
        <v>15.698664522306029</v>
      </c>
      <c r="AP32" s="1">
        <f t="shared" si="19"/>
        <v>16.070091778977652</v>
      </c>
      <c r="AQ32" s="1">
        <f t="shared" si="19"/>
        <v>16.443555836301854</v>
      </c>
      <c r="AR32" s="1">
        <f t="shared" si="19"/>
        <v>16.819109728998182</v>
      </c>
      <c r="AS32" s="1">
        <f t="shared" si="19"/>
        <v>17.19681009936539</v>
      </c>
      <c r="AT32" s="1">
        <f t="shared" si="19"/>
        <v>17.576717470704192</v>
      </c>
      <c r="AU32" s="1">
        <f t="shared" si="19"/>
        <v>17.958896548388797</v>
      </c>
      <c r="AV32" s="1">
        <f t="shared" si="19"/>
        <v>18.343416552060223</v>
      </c>
      <c r="AW32" s="1">
        <f t="shared" si="19"/>
        <v>18.730351582941374</v>
      </c>
      <c r="AX32" s="1">
        <f t="shared" si="19"/>
        <v>19.119781030895172</v>
      </c>
      <c r="AY32" s="1">
        <f t="shared" si="19"/>
        <v>19.511790026582204</v>
      </c>
      <c r="AZ32" s="1">
        <f t="shared" si="19"/>
        <v>19.906469944948185</v>
      </c>
      <c r="BA32" s="1">
        <f t="shared" si="19"/>
        <v>20.303918967313468</v>
      </c>
      <c r="BB32" s="1">
        <f t="shared" si="19"/>
        <v>20.704242710586097</v>
      </c>
      <c r="BC32" s="1">
        <f t="shared" si="19"/>
        <v>21.107554933621913</v>
      </c>
      <c r="BD32" s="1">
        <f t="shared" si="19"/>
        <v>21.51397833257286</v>
      </c>
      <c r="BE32" s="1">
        <f t="shared" si="19"/>
        <v>21.923645439272168</v>
      </c>
      <c r="BF32" s="1">
        <f t="shared" si="19"/>
        <v>22.33669963940155</v>
      </c>
    </row>
    <row r="33" spans="5:58" ht="12.75">
      <c r="E33" s="1" t="s">
        <v>41</v>
      </c>
      <c r="F33" s="1">
        <f>F26-$H$7*(F29+ASIN(1/$M$9*(SIN($F$13*$F$5)*SQRT($T$8^2-(SIN(F29*$F$5))^2)-COS($F$13*$F$5)*SIN(F29*$F$5)))/$F$5-$F$13)</f>
        <v>3.788651014771734</v>
      </c>
      <c r="G33" s="1">
        <f aca="true" t="shared" si="20" ref="G33:BF33">G26-$H$7*(G29+ASIN(1/$M$9*(SIN($F$13*$F$5)*SQRT($T$8^2-(SIN(G29*$F$5))^2)-COS($F$13*$F$5)*SIN(G29*$F$5)))/$F$5-$F$13)</f>
        <v>4.104194646371493</v>
      </c>
      <c r="H33" s="1">
        <f t="shared" si="20"/>
        <v>4.421103749005841</v>
      </c>
      <c r="I33" s="1">
        <f t="shared" si="20"/>
        <v>4.739380052905521</v>
      </c>
      <c r="J33" s="1">
        <f t="shared" si="20"/>
        <v>5.059025874346656</v>
      </c>
      <c r="K33" s="1">
        <f t="shared" si="20"/>
        <v>5.3800441378242745</v>
      </c>
      <c r="L33" s="1">
        <f t="shared" si="20"/>
        <v>5.702438399464146</v>
      </c>
      <c r="M33" s="1">
        <f t="shared" si="20"/>
        <v>6.026212871765676</v>
      </c>
      <c r="N33" s="1">
        <f t="shared" si="20"/>
        <v>6.351372449775783</v>
      </c>
      <c r="O33" s="1">
        <f t="shared" si="20"/>
        <v>6.677922738802375</v>
      </c>
      <c r="P33" s="1">
        <f t="shared" si="20"/>
        <v>7.005870083785022</v>
      </c>
      <c r="Q33" s="1">
        <f t="shared" si="20"/>
        <v>7.335221600449823</v>
      </c>
      <c r="R33" s="1">
        <f t="shared" si="20"/>
        <v>7.66598520838765</v>
      </c>
      <c r="S33" s="1">
        <f t="shared" si="20"/>
        <v>7.998169666205757</v>
      </c>
      <c r="T33" s="1">
        <f t="shared" si="20"/>
        <v>8.33178460891757</v>
      </c>
      <c r="U33" s="1">
        <f t="shared" si="20"/>
        <v>8.66684058774894</v>
      </c>
      <c r="V33" s="1">
        <f t="shared" si="20"/>
        <v>9.003349112556927</v>
      </c>
      <c r="W33" s="1">
        <f t="shared" si="20"/>
        <v>9.341322697074656</v>
      </c>
      <c r="X33" s="1">
        <f t="shared" si="20"/>
        <v>9.680774907216312</v>
      </c>
      <c r="Y33" s="1">
        <f t="shared" si="20"/>
        <v>10.021720412699171</v>
      </c>
      <c r="Z33" s="1">
        <f t="shared" si="20"/>
        <v>10.36417504226453</v>
      </c>
      <c r="AA33" s="1">
        <f t="shared" si="20"/>
        <v>10.70815584280774</v>
      </c>
      <c r="AB33" s="1">
        <f t="shared" si="20"/>
        <v>11.053681142758824</v>
      </c>
      <c r="AC33" s="1">
        <f t="shared" si="20"/>
        <v>11.400770620090606</v>
      </c>
      <c r="AD33" s="1">
        <f t="shared" si="20"/>
        <v>11.749445375370533</v>
      </c>
      <c r="AE33" s="1">
        <f t="shared" si="20"/>
        <v>12.099728010317339</v>
      </c>
      <c r="AF33" s="1">
        <f t="shared" si="20"/>
        <v>12.451642712372749</v>
      </c>
      <c r="AG33" s="1">
        <f t="shared" si="20"/>
        <v>12.805215345855933</v>
      </c>
      <c r="AH33" s="1">
        <f t="shared" si="20"/>
        <v>13.160473550331307</v>
      </c>
      <c r="AI33" s="1">
        <f t="shared" si="20"/>
        <v>13.517446846892764</v>
      </c>
      <c r="AJ33" s="1">
        <f t="shared" si="20"/>
        <v>13.876166753149398</v>
      </c>
      <c r="AK33" s="1">
        <f t="shared" si="20"/>
        <v>14.236666907790575</v>
      </c>
      <c r="AL33" s="1">
        <f t="shared" si="20"/>
        <v>14.598983205714621</v>
      </c>
      <c r="AM33" s="1">
        <f t="shared" si="20"/>
        <v>14.963153944826256</v>
      </c>
      <c r="AN33" s="1">
        <f t="shared" si="20"/>
        <v>15.329219985746992</v>
      </c>
      <c r="AO33" s="1">
        <f t="shared" si="20"/>
        <v>15.697224925841677</v>
      </c>
      <c r="AP33" s="1">
        <f t="shared" si="20"/>
        <v>16.06721528914788</v>
      </c>
      <c r="AQ33" s="1">
        <f t="shared" si="20"/>
        <v>16.439240734006056</v>
      </c>
      <c r="AR33" s="1">
        <f t="shared" si="20"/>
        <v>16.813354280433156</v>
      </c>
      <c r="AS33" s="1">
        <f t="shared" si="20"/>
        <v>17.18961255956654</v>
      </c>
      <c r="AT33" s="1">
        <f t="shared" si="20"/>
        <v>17.56807608783498</v>
      </c>
      <c r="AU33" s="1">
        <f t="shared" si="20"/>
        <v>17.94880956889977</v>
      </c>
      <c r="AV33" s="1">
        <f t="shared" si="20"/>
        <v>18.33188222686066</v>
      </c>
      <c r="AW33" s="1">
        <f t="shared" si="20"/>
        <v>18.717368174752636</v>
      </c>
      <c r="AX33" s="1">
        <f t="shared" si="20"/>
        <v>19.10534682298572</v>
      </c>
      <c r="AY33" s="1">
        <f t="shared" si="20"/>
        <v>19.49590333312233</v>
      </c>
      <c r="AZ33" s="1">
        <f t="shared" si="20"/>
        <v>19.889129123267487</v>
      </c>
      <c r="BA33" s="1">
        <f t="shared" si="20"/>
        <v>20.28512243240004</v>
      </c>
      <c r="BB33" s="1">
        <f t="shared" si="20"/>
        <v>20.683988952233392</v>
      </c>
      <c r="BC33" s="1">
        <f t="shared" si="20"/>
        <v>21.08584253671271</v>
      </c>
      <c r="BD33" s="1">
        <f t="shared" si="20"/>
        <v>21.49080600109107</v>
      </c>
      <c r="BE33" s="1">
        <f t="shared" si="20"/>
        <v>21.899012024760047</v>
      </c>
      <c r="BF33" s="1">
        <f t="shared" si="20"/>
        <v>22.310604174736575</v>
      </c>
    </row>
    <row r="34" spans="5:58" ht="12.75">
      <c r="E34" s="1" t="s">
        <v>51</v>
      </c>
      <c r="F34" s="1">
        <f>($I$9+F31)*$I$7+$F$14/2</f>
        <v>38.54091193729124</v>
      </c>
      <c r="G34" s="1">
        <f aca="true" t="shared" si="21" ref="G34:BF34">($I$9+G31)*$I$7+$F$14/2</f>
        <v>38.22433532843887</v>
      </c>
      <c r="H34" s="1">
        <f t="shared" si="21"/>
        <v>37.90639204401562</v>
      </c>
      <c r="I34" s="1">
        <f t="shared" si="21"/>
        <v>37.58708032657184</v>
      </c>
      <c r="J34" s="1">
        <f t="shared" si="21"/>
        <v>37.266397830639676</v>
      </c>
      <c r="K34" s="1">
        <f t="shared" si="21"/>
        <v>36.94434160052306</v>
      </c>
      <c r="L34" s="1">
        <f t="shared" si="21"/>
        <v>36.62090804684618</v>
      </c>
      <c r="M34" s="1">
        <f t="shared" si="21"/>
        <v>36.29609292176727</v>
      </c>
      <c r="N34" s="1">
        <f t="shared" si="21"/>
        <v>35.96989129275766</v>
      </c>
      <c r="O34" s="1">
        <f t="shared" si="21"/>
        <v>35.642297514837225</v>
      </c>
      <c r="P34" s="1">
        <f t="shared" si="21"/>
        <v>35.31330520114858</v>
      </c>
      <c r="Q34" s="1">
        <f t="shared" si="21"/>
        <v>34.98290719174203</v>
      </c>
      <c r="R34" s="1">
        <f t="shared" si="21"/>
        <v>34.65109552043292</v>
      </c>
      <c r="S34" s="1">
        <f t="shared" si="21"/>
        <v>34.317861379579924</v>
      </c>
      <c r="T34" s="1">
        <f t="shared" si="21"/>
        <v>33.98319508262006</v>
      </c>
      <c r="U34" s="1">
        <f t="shared" si="21"/>
        <v>33.64708602418092</v>
      </c>
      <c r="V34" s="1">
        <f t="shared" si="21"/>
        <v>33.3095226375745</v>
      </c>
      <c r="W34" s="1">
        <f t="shared" si="21"/>
        <v>32.970492349457885</v>
      </c>
      <c r="X34" s="1">
        <f t="shared" si="21"/>
        <v>32.62998153142672</v>
      </c>
      <c r="Y34" s="1">
        <f t="shared" si="21"/>
        <v>32.287975448283916</v>
      </c>
      <c r="Z34" s="1">
        <f t="shared" si="21"/>
        <v>31.94445820270097</v>
      </c>
      <c r="AA34" s="1">
        <f t="shared" si="21"/>
        <v>31.599412675961485</v>
      </c>
      <c r="AB34" s="1">
        <f t="shared" si="21"/>
        <v>31.25282046444442</v>
      </c>
      <c r="AC34" s="1">
        <f t="shared" si="21"/>
        <v>30.90466181146944</v>
      </c>
      <c r="AD34" s="1">
        <f t="shared" si="21"/>
        <v>30.554915534087478</v>
      </c>
      <c r="AE34" s="1">
        <f t="shared" si="21"/>
        <v>30.203558944354683</v>
      </c>
      <c r="AF34" s="1">
        <f t="shared" si="21"/>
        <v>29.850567764578045</v>
      </c>
      <c r="AG34" s="1">
        <f t="shared" si="21"/>
        <v>29.495916035964555</v>
      </c>
      <c r="AH34" s="1">
        <f t="shared" si="21"/>
        <v>29.139576020041837</v>
      </c>
      <c r="AI34" s="1">
        <f t="shared" si="21"/>
        <v>28.781518092146023</v>
      </c>
      <c r="AJ34" s="1">
        <f t="shared" si="21"/>
        <v>28.421710626190396</v>
      </c>
      <c r="AK34" s="1">
        <f t="shared" si="21"/>
        <v>28.060119869835557</v>
      </c>
      <c r="AL34" s="1">
        <f t="shared" si="21"/>
        <v>27.69670980907514</v>
      </c>
      <c r="AM34" s="1">
        <f t="shared" si="21"/>
        <v>27.33144202112996</v>
      </c>
      <c r="AN34" s="1">
        <f t="shared" si="21"/>
        <v>26.964275514404843</v>
      </c>
      <c r="AO34" s="1">
        <f t="shared" si="21"/>
        <v>26.595166554102256</v>
      </c>
      <c r="AP34" s="1">
        <f t="shared" si="21"/>
        <v>26.224068471904122</v>
      </c>
      <c r="AQ34" s="1">
        <f t="shared" si="21"/>
        <v>25.850931457920694</v>
      </c>
      <c r="AR34" s="1">
        <f t="shared" si="21"/>
        <v>25.475702332861385</v>
      </c>
      <c r="AS34" s="1">
        <f t="shared" si="21"/>
        <v>25.09832429809727</v>
      </c>
      <c r="AT34" s="1">
        <f t="shared" si="21"/>
        <v>24.71873666095492</v>
      </c>
      <c r="AU34" s="1">
        <f t="shared" si="21"/>
        <v>24.336874532194496</v>
      </c>
      <c r="AV34" s="1">
        <f t="shared" si="21"/>
        <v>23.95266849217341</v>
      </c>
      <c r="AW34" s="1">
        <f t="shared" si="21"/>
        <v>23.566044221664455</v>
      </c>
      <c r="AX34" s="1">
        <f t="shared" si="21"/>
        <v>23.176922092671116</v>
      </c>
      <c r="AY34" s="1">
        <f t="shared" si="21"/>
        <v>22.785216713839898</v>
      </c>
      <c r="AZ34" s="1">
        <f t="shared" si="21"/>
        <v>22.390836424187718</v>
      </c>
      <c r="BA34" s="1">
        <f t="shared" si="21"/>
        <v>21.993682727809922</v>
      </c>
      <c r="BB34" s="1">
        <f t="shared" si="21"/>
        <v>21.593649660972304</v>
      </c>
      <c r="BC34" s="1">
        <f t="shared" si="21"/>
        <v>21.19062308147284</v>
      </c>
      <c r="BD34" s="1">
        <f t="shared" si="21"/>
        <v>20.78447986832147</v>
      </c>
      <c r="BE34" s="1">
        <f t="shared" si="21"/>
        <v>20.37508701755393</v>
      </c>
      <c r="BF34" s="1">
        <f t="shared" si="21"/>
        <v>19.962300617267964</v>
      </c>
    </row>
    <row r="35" spans="5:58" ht="12.75">
      <c r="E35" s="1" t="s">
        <v>52</v>
      </c>
      <c r="F35" s="1">
        <f>($I$9+F32)*$I$7+$F$14/2</f>
        <v>38.5592888048492</v>
      </c>
      <c r="G35" s="1">
        <f aca="true" t="shared" si="22" ref="G35:BF35">($I$9+G32)*$I$7+$F$14/2</f>
        <v>38.24235545677051</v>
      </c>
      <c r="H35" s="1">
        <f t="shared" si="22"/>
        <v>37.92405548558749</v>
      </c>
      <c r="I35" s="1">
        <f t="shared" si="22"/>
        <v>37.604387164052</v>
      </c>
      <c r="J35" s="1">
        <f t="shared" si="22"/>
        <v>37.28334817729193</v>
      </c>
      <c r="K35" s="1">
        <f t="shared" si="22"/>
        <v>36.960935600659056</v>
      </c>
      <c r="L35" s="1">
        <f t="shared" si="22"/>
        <v>36.63714587633925</v>
      </c>
      <c r="M35" s="1">
        <f t="shared" si="22"/>
        <v>36.31197478863205</v>
      </c>
      <c r="N35" s="1">
        <f t="shared" si="22"/>
        <v>35.98541743780022</v>
      </c>
      <c r="O35" s="1">
        <f t="shared" si="22"/>
        <v>35.65746821238029</v>
      </c>
      <c r="P35" s="1">
        <f t="shared" si="22"/>
        <v>35.32812075983733</v>
      </c>
      <c r="Q35" s="1">
        <f t="shared" si="22"/>
        <v>34.997367955436616</v>
      </c>
      <c r="R35" s="1">
        <f t="shared" si="22"/>
        <v>34.66520186919355</v>
      </c>
      <c r="S35" s="1">
        <f t="shared" si="22"/>
        <v>34.33161373075173</v>
      </c>
      <c r="T35" s="1">
        <f t="shared" si="22"/>
        <v>33.99659389202559</v>
      </c>
      <c r="U35" s="1">
        <f t="shared" si="22"/>
        <v>33.66013178742833</v>
      </c>
      <c r="V35" s="1">
        <f t="shared" si="22"/>
        <v>33.32221589149063</v>
      </c>
      <c r="W35" s="1">
        <f t="shared" si="22"/>
        <v>32.98283367365673</v>
      </c>
      <c r="X35" s="1">
        <f t="shared" si="22"/>
        <v>32.64197155002404</v>
      </c>
      <c r="Y35" s="1">
        <f t="shared" si="22"/>
        <v>32.299614831770484</v>
      </c>
      <c r="Z35" s="1">
        <f t="shared" si="22"/>
        <v>31.955747669988227</v>
      </c>
      <c r="AA35" s="1">
        <f t="shared" si="22"/>
        <v>31.61035299661426</v>
      </c>
      <c r="AB35" s="1">
        <f t="shared" si="22"/>
        <v>31.263412461117788</v>
      </c>
      <c r="AC35" s="1">
        <f t="shared" si="22"/>
        <v>30.91490636256804</v>
      </c>
      <c r="AD35" s="1">
        <f t="shared" si="22"/>
        <v>30.564813576667973</v>
      </c>
      <c r="AE35" s="1">
        <f t="shared" si="22"/>
        <v>30.213111477294223</v>
      </c>
      <c r="AF35" s="1">
        <f t="shared" si="22"/>
        <v>29.859775852034332</v>
      </c>
      <c r="AG35" s="1">
        <f t="shared" si="22"/>
        <v>29.50478081115614</v>
      </c>
      <c r="AH35" s="1">
        <f t="shared" si="22"/>
        <v>29.148098689380518</v>
      </c>
      <c r="AI35" s="1">
        <f t="shared" si="22"/>
        <v>28.789699939757288</v>
      </c>
      <c r="AJ35" s="1">
        <f t="shared" si="22"/>
        <v>28.429553018862073</v>
      </c>
      <c r="AK35" s="1">
        <f t="shared" si="22"/>
        <v>28.06762426244009</v>
      </c>
      <c r="AL35" s="1">
        <f t="shared" si="22"/>
        <v>27.703877750516483</v>
      </c>
      <c r="AM35" s="1">
        <f t="shared" si="22"/>
        <v>27.338275160872964</v>
      </c>
      <c r="AN35" s="1">
        <f t="shared" si="22"/>
        <v>26.970775609652275</v>
      </c>
      <c r="AO35" s="1">
        <f t="shared" si="22"/>
        <v>26.60133547769397</v>
      </c>
      <c r="AP35" s="1">
        <f t="shared" si="22"/>
        <v>26.229908221022345</v>
      </c>
      <c r="AQ35" s="1">
        <f t="shared" si="22"/>
        <v>25.856444163698143</v>
      </c>
      <c r="AR35" s="1">
        <f t="shared" si="22"/>
        <v>25.480890271001815</v>
      </c>
      <c r="AS35" s="1">
        <f t="shared" si="22"/>
        <v>25.103189900634607</v>
      </c>
      <c r="AT35" s="1">
        <f t="shared" si="22"/>
        <v>24.723282529295805</v>
      </c>
      <c r="AU35" s="1">
        <f t="shared" si="22"/>
        <v>24.3411034516112</v>
      </c>
      <c r="AV35" s="1">
        <f t="shared" si="22"/>
        <v>23.956583447939774</v>
      </c>
      <c r="AW35" s="1">
        <f t="shared" si="22"/>
        <v>23.569648417058623</v>
      </c>
      <c r="AX35" s="1">
        <f t="shared" si="22"/>
        <v>23.180218969104825</v>
      </c>
      <c r="AY35" s="1">
        <f t="shared" si="22"/>
        <v>22.788209973417793</v>
      </c>
      <c r="AZ35" s="1">
        <f t="shared" si="22"/>
        <v>22.393530055051812</v>
      </c>
      <c r="BA35" s="1">
        <f t="shared" si="22"/>
        <v>21.99608103268653</v>
      </c>
      <c r="BB35" s="1">
        <f t="shared" si="22"/>
        <v>21.5957572894139</v>
      </c>
      <c r="BC35" s="1">
        <f t="shared" si="22"/>
        <v>21.192445066378085</v>
      </c>
      <c r="BD35" s="1">
        <f t="shared" si="22"/>
        <v>20.786021667427136</v>
      </c>
      <c r="BE35" s="1">
        <f t="shared" si="22"/>
        <v>20.37635456072783</v>
      </c>
      <c r="BF35" s="1">
        <f t="shared" si="22"/>
        <v>19.963300360598446</v>
      </c>
    </row>
    <row r="36" spans="5:58" ht="12.75">
      <c r="E36" s="1" t="s">
        <v>53</v>
      </c>
      <c r="F36" s="1">
        <f>($I$9+F33)*$I$7+$F$14/2</f>
        <v>38.51134898522827</v>
      </c>
      <c r="G36" s="1">
        <f aca="true" t="shared" si="23" ref="G36:BF36">($I$9+G33)*$I$7+$F$14/2</f>
        <v>38.1958053536285</v>
      </c>
      <c r="H36" s="1">
        <f t="shared" si="23"/>
        <v>37.87889625099416</v>
      </c>
      <c r="I36" s="1">
        <f t="shared" si="23"/>
        <v>37.56061994709448</v>
      </c>
      <c r="J36" s="1">
        <f t="shared" si="23"/>
        <v>37.24097412565334</v>
      </c>
      <c r="K36" s="1">
        <f t="shared" si="23"/>
        <v>36.919955862175726</v>
      </c>
      <c r="L36" s="1">
        <f t="shared" si="23"/>
        <v>36.597561600535855</v>
      </c>
      <c r="M36" s="1">
        <f t="shared" si="23"/>
        <v>36.27378712823432</v>
      </c>
      <c r="N36" s="1">
        <f t="shared" si="23"/>
        <v>35.94862755022422</v>
      </c>
      <c r="O36" s="1">
        <f t="shared" si="23"/>
        <v>35.622077261197624</v>
      </c>
      <c r="P36" s="1">
        <f t="shared" si="23"/>
        <v>35.29412991621498</v>
      </c>
      <c r="Q36" s="1">
        <f t="shared" si="23"/>
        <v>34.96477839955017</v>
      </c>
      <c r="R36" s="1">
        <f t="shared" si="23"/>
        <v>34.634014791612344</v>
      </c>
      <c r="S36" s="1">
        <f t="shared" si="23"/>
        <v>34.30183033379424</v>
      </c>
      <c r="T36" s="1">
        <f t="shared" si="23"/>
        <v>33.968215391082424</v>
      </c>
      <c r="U36" s="1">
        <f t="shared" si="23"/>
        <v>33.63315941225106</v>
      </c>
      <c r="V36" s="1">
        <f t="shared" si="23"/>
        <v>33.29665088744307</v>
      </c>
      <c r="W36" s="1">
        <f t="shared" si="23"/>
        <v>32.95867730292534</v>
      </c>
      <c r="X36" s="1">
        <f t="shared" si="23"/>
        <v>32.61922509278369</v>
      </c>
      <c r="Y36" s="1">
        <f t="shared" si="23"/>
        <v>32.27827958730083</v>
      </c>
      <c r="Z36" s="1">
        <f t="shared" si="23"/>
        <v>31.93582495773547</v>
      </c>
      <c r="AA36" s="1">
        <f t="shared" si="23"/>
        <v>31.591844157192256</v>
      </c>
      <c r="AB36" s="1">
        <f t="shared" si="23"/>
        <v>31.24631885724117</v>
      </c>
      <c r="AC36" s="1">
        <f t="shared" si="23"/>
        <v>30.899229379909393</v>
      </c>
      <c r="AD36" s="1">
        <f t="shared" si="23"/>
        <v>30.550554624629463</v>
      </c>
      <c r="AE36" s="1">
        <f t="shared" si="23"/>
        <v>30.20027198968266</v>
      </c>
      <c r="AF36" s="1">
        <f t="shared" si="23"/>
        <v>29.84835728762725</v>
      </c>
      <c r="AG36" s="1">
        <f t="shared" si="23"/>
        <v>29.494784654144063</v>
      </c>
      <c r="AH36" s="1">
        <f t="shared" si="23"/>
        <v>29.13952644966869</v>
      </c>
      <c r="AI36" s="1">
        <f t="shared" si="23"/>
        <v>28.782553153107234</v>
      </c>
      <c r="AJ36" s="1">
        <f t="shared" si="23"/>
        <v>28.4238332468506</v>
      </c>
      <c r="AK36" s="1">
        <f t="shared" si="23"/>
        <v>28.063333092209422</v>
      </c>
      <c r="AL36" s="1">
        <f t="shared" si="23"/>
        <v>27.701016794285376</v>
      </c>
      <c r="AM36" s="1">
        <f t="shared" si="23"/>
        <v>27.33684605517374</v>
      </c>
      <c r="AN36" s="1">
        <f t="shared" si="23"/>
        <v>26.970780014253005</v>
      </c>
      <c r="AO36" s="1">
        <f t="shared" si="23"/>
        <v>26.60277507415832</v>
      </c>
      <c r="AP36" s="1">
        <f t="shared" si="23"/>
        <v>26.232784710852115</v>
      </c>
      <c r="AQ36" s="1">
        <f t="shared" si="23"/>
        <v>25.86075926599394</v>
      </c>
      <c r="AR36" s="1">
        <f t="shared" si="23"/>
        <v>25.48664571956684</v>
      </c>
      <c r="AS36" s="1">
        <f t="shared" si="23"/>
        <v>25.110387440433456</v>
      </c>
      <c r="AT36" s="1">
        <f t="shared" si="23"/>
        <v>24.731923912165016</v>
      </c>
      <c r="AU36" s="1">
        <f t="shared" si="23"/>
        <v>24.35119043110023</v>
      </c>
      <c r="AV36" s="1">
        <f t="shared" si="23"/>
        <v>23.968117773139337</v>
      </c>
      <c r="AW36" s="1">
        <f t="shared" si="23"/>
        <v>23.58263182524736</v>
      </c>
      <c r="AX36" s="1">
        <f t="shared" si="23"/>
        <v>23.194653177014278</v>
      </c>
      <c r="AY36" s="1">
        <f t="shared" si="23"/>
        <v>22.804096666877665</v>
      </c>
      <c r="AZ36" s="1">
        <f t="shared" si="23"/>
        <v>22.41087087673251</v>
      </c>
      <c r="BA36" s="1">
        <f t="shared" si="23"/>
        <v>22.014877567599957</v>
      </c>
      <c r="BB36" s="1">
        <f t="shared" si="23"/>
        <v>21.616011047766605</v>
      </c>
      <c r="BC36" s="1">
        <f t="shared" si="23"/>
        <v>21.214157463287286</v>
      </c>
      <c r="BD36" s="1">
        <f t="shared" si="23"/>
        <v>20.809193998908928</v>
      </c>
      <c r="BE36" s="1">
        <f t="shared" si="23"/>
        <v>20.40098797523995</v>
      </c>
      <c r="BF36" s="1">
        <f t="shared" si="23"/>
        <v>19.989395825263422</v>
      </c>
    </row>
    <row r="37" spans="5:58" ht="12.75">
      <c r="E37" s="1" t="s">
        <v>115</v>
      </c>
      <c r="F37" s="1">
        <f>(ASIN(SIN(F34*$F$5)/$M$8*$L$8)/$F$5-$F$14/2)/$I$7-$I$9</f>
        <v>7.752253849498004</v>
      </c>
      <c r="G37" s="1">
        <f aca="true" t="shared" si="24" ref="G37:BF37">(ASIN(SIN(G34*$F$5)/$M$8*$L$8)/$F$5-$F$14/2)/$I$7-$I$9</f>
        <v>8.026024539986004</v>
      </c>
      <c r="H37" s="1">
        <f t="shared" si="24"/>
        <v>8.301278643638646</v>
      </c>
      <c r="I37" s="1">
        <f t="shared" si="24"/>
        <v>8.578016497347264</v>
      </c>
      <c r="J37" s="1">
        <f t="shared" si="24"/>
        <v>8.856238929404334</v>
      </c>
      <c r="K37" s="1">
        <f t="shared" si="24"/>
        <v>9.135947281666475</v>
      </c>
      <c r="L37" s="1">
        <f t="shared" si="24"/>
        <v>9.41714343280293</v>
      </c>
      <c r="M37" s="1">
        <f t="shared" si="24"/>
        <v>9.699829822714833</v>
      </c>
      <c r="N37" s="1">
        <f t="shared" si="24"/>
        <v>9.984009478216372</v>
      </c>
      <c r="O37" s="1">
        <f t="shared" si="24"/>
        <v>10.269686040077495</v>
      </c>
      <c r="P37" s="1">
        <f t="shared" si="24"/>
        <v>10.556863791535406</v>
      </c>
      <c r="Q37" s="1">
        <f t="shared" si="24"/>
        <v>10.845547688392106</v>
      </c>
      <c r="R37" s="1">
        <f t="shared" si="24"/>
        <v>11.13574339082415</v>
      </c>
      <c r="S37" s="1">
        <f t="shared" si="24"/>
        <v>11.427457297043361</v>
      </c>
      <c r="T37" s="1">
        <f t="shared" si="24"/>
        <v>11.720696578958325</v>
      </c>
      <c r="U37" s="1">
        <f t="shared" si="24"/>
        <v>12.01546922000086</v>
      </c>
      <c r="V37" s="1">
        <f t="shared" si="24"/>
        <v>12.311784055296275</v>
      </c>
      <c r="W37" s="1">
        <f t="shared" si="24"/>
        <v>12.60965081437351</v>
      </c>
      <c r="X37" s="1">
        <f t="shared" si="24"/>
        <v>12.909080166629167</v>
      </c>
      <c r="Y37" s="1">
        <f t="shared" si="24"/>
        <v>13.210083769780475</v>
      </c>
      <c r="Z37" s="1">
        <f t="shared" si="24"/>
        <v>13.512674321565605</v>
      </c>
      <c r="AA37" s="1">
        <f t="shared" si="24"/>
        <v>13.816865614974564</v>
      </c>
      <c r="AB37" s="1">
        <f t="shared" si="24"/>
        <v>14.122672597323348</v>
      </c>
      <c r="AC37" s="1">
        <f t="shared" si="24"/>
        <v>14.43011143351626</v>
      </c>
      <c r="AD37" s="1">
        <f t="shared" si="24"/>
        <v>14.7391995738766</v>
      </c>
      <c r="AE37" s="1">
        <f t="shared" si="24"/>
        <v>15.049955826967391</v>
      </c>
      <c r="AF37" s="1">
        <f t="shared" si="24"/>
        <v>15.36240043786876</v>
      </c>
      <c r="AG37" s="1">
        <f t="shared" si="24"/>
        <v>15.676555172430536</v>
      </c>
      <c r="AH37" s="1">
        <f t="shared" si="24"/>
        <v>15.992443408076191</v>
      </c>
      <c r="AI37" s="1">
        <f t="shared" si="24"/>
        <v>16.310090231800658</v>
      </c>
      <c r="AJ37" s="1">
        <f t="shared" si="24"/>
        <v>16.62952254607901</v>
      </c>
      <c r="AK37" s="1">
        <f t="shared" si="24"/>
        <v>16.950769183487523</v>
      </c>
      <c r="AL37" s="1">
        <f t="shared" si="24"/>
        <v>17.273861030936118</v>
      </c>
      <c r="AM37" s="1">
        <f t="shared" si="24"/>
        <v>17.59883116452126</v>
      </c>
      <c r="AN37" s="1">
        <f t="shared" si="24"/>
        <v>17.92571499613453</v>
      </c>
      <c r="AO37" s="1">
        <f t="shared" si="24"/>
        <v>18.25455043310842</v>
      </c>
      <c r="AP37" s="1">
        <f t="shared" si="24"/>
        <v>18.585378052346677</v>
      </c>
      <c r="AQ37" s="1">
        <f t="shared" si="24"/>
        <v>18.918241290580443</v>
      </c>
      <c r="AR37" s="1">
        <f t="shared" si="24"/>
        <v>19.253186652613653</v>
      </c>
      <c r="AS37" s="1">
        <f t="shared" si="24"/>
        <v>19.59026393968044</v>
      </c>
      <c r="AT37" s="1">
        <f t="shared" si="24"/>
        <v>19.929526500338394</v>
      </c>
      <c r="AU37" s="1">
        <f t="shared" si="24"/>
        <v>20.27103150667319</v>
      </c>
      <c r="AV37" s="1">
        <f t="shared" si="24"/>
        <v>20.614840259001767</v>
      </c>
      <c r="AW37" s="1">
        <f t="shared" si="24"/>
        <v>20.961018522745665</v>
      </c>
      <c r="AX37" s="1">
        <f t="shared" si="24"/>
        <v>21.30963690171668</v>
      </c>
      <c r="AY37" s="1">
        <f t="shared" si="24"/>
        <v>21.660771252733166</v>
      </c>
      <c r="AZ37" s="1">
        <f t="shared" si="24"/>
        <v>22.014503147288366</v>
      </c>
      <c r="BA37" s="1">
        <f t="shared" si="24"/>
        <v>22.370920386950537</v>
      </c>
      <c r="BB37" s="1">
        <f t="shared" si="24"/>
        <v>22.730117580323878</v>
      </c>
      <c r="BC37" s="1">
        <f t="shared" si="24"/>
        <v>23.092196790781006</v>
      </c>
      <c r="BD37" s="1">
        <f t="shared" si="24"/>
        <v>23.45726826585111</v>
      </c>
      <c r="BE37" s="1">
        <f t="shared" si="24"/>
        <v>23.825451261179982</v>
      </c>
      <c r="BF37" s="1">
        <f t="shared" si="24"/>
        <v>24.19687497446215</v>
      </c>
    </row>
    <row r="38" spans="5:58" ht="12.75">
      <c r="E38" t="s">
        <v>45</v>
      </c>
      <c r="F38" s="1">
        <f>F31-$I$7*(F34+ASIN($K$9*(SIN($F$14*$F$5)*SQRT(($M$8/$K$9)^2-(SIN(F34*$F$5))^2)-COS($F$14*$F$5)*SIN(F34*$F$5)))/$F$5-$F$14)</f>
        <v>-15.884761162976407</v>
      </c>
      <c r="G38" s="1">
        <f aca="true" t="shared" si="25" ref="G38:BF38">G31-$I$7*(G34+ASIN($K$9*(SIN($F$14*$F$5)*SQRT(($M$8/$K$9)^2-(SIN(G34*$F$5))^2)-COS($F$14*$F$5)*SIN(G34*$F$5)))/$F$5-$F$14)</f>
        <v>-15.241976863599287</v>
      </c>
      <c r="H38" s="1">
        <f t="shared" si="25"/>
        <v>-14.60312092341518</v>
      </c>
      <c r="I38" s="1">
        <f t="shared" si="25"/>
        <v>-13.967942991463449</v>
      </c>
      <c r="J38" s="1">
        <f t="shared" si="25"/>
        <v>-13.336207760051511</v>
      </c>
      <c r="K38" s="1">
        <f t="shared" si="25"/>
        <v>-12.70769350559932</v>
      </c>
      <c r="L38" s="1">
        <f t="shared" si="25"/>
        <v>-12.082190787316183</v>
      </c>
      <c r="M38" s="1">
        <f t="shared" si="25"/>
        <v>-11.459501282289022</v>
      </c>
      <c r="N38" s="1">
        <f t="shared" si="25"/>
        <v>-10.839436738816577</v>
      </c>
      <c r="O38" s="1">
        <f t="shared" si="25"/>
        <v>-10.221818032511944</v>
      </c>
      <c r="P38" s="1">
        <f t="shared" si="25"/>
        <v>-9.606474311926672</v>
      </c>
      <c r="Q38" s="1">
        <f t="shared" si="25"/>
        <v>-8.993242222309025</v>
      </c>
      <c r="R38" s="1">
        <f t="shared" si="25"/>
        <v>-8.381965197663536</v>
      </c>
      <c r="S38" s="1">
        <f t="shared" si="25"/>
        <v>-7.772492812581523</v>
      </c>
      <c r="T38" s="1">
        <f t="shared" si="25"/>
        <v>-7.164680186410475</v>
      </c>
      <c r="U38" s="1">
        <f t="shared" si="25"/>
        <v>-6.558387433254598</v>
      </c>
      <c r="V38" s="1">
        <f t="shared" si="25"/>
        <v>-5.953479152079989</v>
      </c>
      <c r="W38" s="1">
        <f t="shared" si="25"/>
        <v>-5.349823951858848</v>
      </c>
      <c r="X38" s="1">
        <f t="shared" si="25"/>
        <v>-4.747294007246333</v>
      </c>
      <c r="Y38" s="1">
        <f t="shared" si="25"/>
        <v>-4.145764640756413</v>
      </c>
      <c r="Z38" s="1">
        <f t="shared" si="25"/>
        <v>-3.545113927800495</v>
      </c>
      <c r="AA38" s="1">
        <f t="shared" si="25"/>
        <v>-2.945222321289698</v>
      </c>
      <c r="AB38" s="1">
        <f t="shared" si="25"/>
        <v>-2.345972292779514</v>
      </c>
      <c r="AC38" s="1">
        <f t="shared" si="25"/>
        <v>-1.747247987366448</v>
      </c>
      <c r="AD38" s="1">
        <f t="shared" si="25"/>
        <v>-1.1489348897361484</v>
      </c>
      <c r="AE38" s="1">
        <f t="shared" si="25"/>
        <v>-0.5509194989089412</v>
      </c>
      <c r="AF38" s="1">
        <f t="shared" si="25"/>
        <v>0.04691099065560245</v>
      </c>
      <c r="AG38" s="1">
        <f t="shared" si="25"/>
        <v>0.6446690038541494</v>
      </c>
      <c r="AH38" s="1">
        <f t="shared" si="25"/>
        <v>1.2424668978435154</v>
      </c>
      <c r="AI38" s="1">
        <f t="shared" si="25"/>
        <v>1.84041727524302</v>
      </c>
      <c r="AJ38" s="1">
        <f t="shared" si="25"/>
        <v>2.4386332998354234</v>
      </c>
      <c r="AK38" s="1">
        <f t="shared" si="25"/>
        <v>3.037229017006723</v>
      </c>
      <c r="AL38" s="1">
        <f t="shared" si="25"/>
        <v>3.636319681237701</v>
      </c>
      <c r="AM38" s="1">
        <f t="shared" si="25"/>
        <v>4.236022093064584</v>
      </c>
      <c r="AN38" s="1">
        <f t="shared" si="25"/>
        <v>4.836454948065292</v>
      </c>
      <c r="AO38" s="1">
        <f t="shared" si="25"/>
        <v>5.437739200608561</v>
      </c>
      <c r="AP38" s="1">
        <f t="shared" si="25"/>
        <v>6.039998445323427</v>
      </c>
      <c r="AQ38" s="1">
        <f t="shared" si="25"/>
        <v>6.643359319519124</v>
      </c>
      <c r="AR38" s="1">
        <f t="shared" si="25"/>
        <v>7.247951930110592</v>
      </c>
      <c r="AS38" s="1">
        <f t="shared" si="25"/>
        <v>7.853910308996564</v>
      </c>
      <c r="AT38" s="1">
        <f t="shared" si="25"/>
        <v>8.461372901302681</v>
      </c>
      <c r="AU38" s="1">
        <f t="shared" si="25"/>
        <v>9.070483091454957</v>
      </c>
      <c r="AV38" s="1">
        <f t="shared" si="25"/>
        <v>9.681389772706282</v>
      </c>
      <c r="AW38" s="1">
        <f t="shared" si="25"/>
        <v>10.294247966518874</v>
      </c>
      <c r="AX38" s="1">
        <f t="shared" si="25"/>
        <v>10.909219499132785</v>
      </c>
      <c r="AY38" s="1">
        <f t="shared" si="25"/>
        <v>11.526473743756064</v>
      </c>
      <c r="AZ38" s="1">
        <f t="shared" si="25"/>
        <v>12.146188438131187</v>
      </c>
      <c r="BA38" s="1">
        <f t="shared" si="25"/>
        <v>12.76855058881221</v>
      </c>
      <c r="BB38" s="1">
        <f t="shared" si="25"/>
        <v>13.393757475387147</v>
      </c>
      <c r="BC38" s="1">
        <f t="shared" si="25"/>
        <v>14.022017770169413</v>
      </c>
      <c r="BD38" s="1">
        <f t="shared" si="25"/>
        <v>14.653552791658857</v>
      </c>
      <c r="BE38" s="1">
        <f t="shared" si="25"/>
        <v>15.288597913449934</v>
      </c>
      <c r="BF38" s="1">
        <f t="shared" si="25"/>
        <v>15.927404154395887</v>
      </c>
    </row>
    <row r="39" spans="5:58" ht="12.75">
      <c r="E39" t="s">
        <v>46</v>
      </c>
      <c r="F39" s="1">
        <f>F32-$I$7*(F35+ASIN($L$9*(SIN($F$14*$F$5)*SQRT(($Q$8/$L$9)^2-(SIN(F35*$F$5))^2)-COS($F$14*$F$5)*SIN(F35*$F$5)))/$F$5-$F$14)</f>
        <v>-15.881036752980624</v>
      </c>
      <c r="G39" s="1">
        <f aca="true" t="shared" si="26" ref="G39:BF39">G32-$I$7*(G35+ASIN($L$9*(SIN($F$14*$F$5)*SQRT(($Q$8/$L$9)^2-(SIN(G35*$F$5))^2)-COS($F$14*$F$5)*SIN(G35*$F$5)))/$F$5-$F$14)</f>
        <v>-15.238437058756023</v>
      </c>
      <c r="H39" s="1">
        <f t="shared" si="26"/>
        <v>-14.599763675055737</v>
      </c>
      <c r="I39" s="1">
        <f t="shared" si="26"/>
        <v>-13.964766569348111</v>
      </c>
      <c r="J39" s="1">
        <f t="shared" si="26"/>
        <v>-13.333210731470562</v>
      </c>
      <c r="K39" s="1">
        <f t="shared" si="26"/>
        <v>-12.704874717198312</v>
      </c>
      <c r="L39" s="1">
        <f t="shared" si="26"/>
        <v>-12.079549349308198</v>
      </c>
      <c r="M39" s="1">
        <f t="shared" si="26"/>
        <v>-11.457036554771431</v>
      </c>
      <c r="N39" s="1">
        <f t="shared" si="26"/>
        <v>-10.8371483199542</v>
      </c>
      <c r="O39" s="1">
        <f t="shared" si="26"/>
        <v>-10.219705748385326</v>
      </c>
      <c r="P39" s="1">
        <f t="shared" si="26"/>
        <v>-9.604538207876285</v>
      </c>
      <c r="Q39" s="1">
        <f t="shared" si="26"/>
        <v>-8.991482555632995</v>
      </c>
      <c r="R39" s="1">
        <f t="shared" si="26"/>
        <v>-8.380382431547442</v>
      </c>
      <c r="S39" s="1">
        <f t="shared" si="26"/>
        <v>-7.771087611160103</v>
      </c>
      <c r="T39" s="1">
        <f t="shared" si="26"/>
        <v>-7.163453410877128</v>
      </c>
      <c r="U39" s="1">
        <f t="shared" si="26"/>
        <v>-6.557340138948231</v>
      </c>
      <c r="V39" s="1">
        <f t="shared" si="26"/>
        <v>-5.952612586493107</v>
      </c>
      <c r="W39" s="1">
        <f t="shared" si="26"/>
        <v>-5.349139553521415</v>
      </c>
      <c r="X39" s="1">
        <f t="shared" si="26"/>
        <v>-4.74679340545036</v>
      </c>
      <c r="Y39" s="1">
        <f t="shared" si="26"/>
        <v>-4.145449656095305</v>
      </c>
      <c r="Z39" s="1">
        <f t="shared" si="26"/>
        <v>-3.5449865735073</v>
      </c>
      <c r="AA39" s="1">
        <f t="shared" si="26"/>
        <v>-2.9452848053642935</v>
      </c>
      <c r="AB39" s="1">
        <f t="shared" si="26"/>
        <v>-2.346227020904772</v>
      </c>
      <c r="AC39" s="1">
        <f t="shared" si="26"/>
        <v>-1.7476975666202748</v>
      </c>
      <c r="AD39" s="1">
        <f t="shared" si="26"/>
        <v>-1.1495821331134835</v>
      </c>
      <c r="AE39" s="1">
        <f t="shared" si="26"/>
        <v>-0.5517674306762359</v>
      </c>
      <c r="AF39" s="1">
        <f t="shared" si="26"/>
        <v>0.04585912874362741</v>
      </c>
      <c r="AG39" s="1">
        <f t="shared" si="26"/>
        <v>0.6434097454368057</v>
      </c>
      <c r="AH39" s="1">
        <f t="shared" si="26"/>
        <v>1.2409965438888815</v>
      </c>
      <c r="AI39" s="1">
        <f t="shared" si="26"/>
        <v>1.8387318849784293</v>
      </c>
      <c r="AJ39" s="1">
        <f t="shared" si="26"/>
        <v>2.436728680607324</v>
      </c>
      <c r="AK39" s="1">
        <f t="shared" si="26"/>
        <v>3.035100712992282</v>
      </c>
      <c r="AL39" s="1">
        <f t="shared" si="26"/>
        <v>3.633962960918005</v>
      </c>
      <c r="AM39" s="1">
        <f t="shared" si="26"/>
        <v>4.23343193535549</v>
      </c>
      <c r="AN39" s="1">
        <f t="shared" si="26"/>
        <v>4.833626026987204</v>
      </c>
      <c r="AO39" s="1">
        <f t="shared" si="26"/>
        <v>5.434665868357428</v>
      </c>
      <c r="AP39" s="1">
        <f t="shared" si="26"/>
        <v>6.036674713587054</v>
      </c>
      <c r="AQ39" s="1">
        <f t="shared" si="26"/>
        <v>6.639778838858266</v>
      </c>
      <c r="AR39" s="1">
        <f t="shared" si="26"/>
        <v>7.244107967199348</v>
      </c>
      <c r="AS39" s="1">
        <f t="shared" si="26"/>
        <v>7.849795721485865</v>
      </c>
      <c r="AT39" s="1">
        <f t="shared" si="26"/>
        <v>8.456980110035023</v>
      </c>
      <c r="AU39" s="1">
        <f t="shared" si="26"/>
        <v>9.065804049718054</v>
      </c>
      <c r="AV39" s="1">
        <f t="shared" si="26"/>
        <v>9.67641593216528</v>
      </c>
      <c r="AW39" s="1">
        <f t="shared" si="26"/>
        <v>10.288970239410148</v>
      </c>
      <c r="AX39" s="1">
        <f t="shared" si="26"/>
        <v>10.903628216236417</v>
      </c>
      <c r="AY39" s="1">
        <f t="shared" si="26"/>
        <v>11.520558607584995</v>
      </c>
      <c r="AZ39" s="1">
        <f t="shared" si="26"/>
        <v>12.13993847068183</v>
      </c>
      <c r="BA39" s="1">
        <f t="shared" si="26"/>
        <v>12.761954073109777</v>
      </c>
      <c r="BB39" s="1">
        <f t="shared" si="26"/>
        <v>13.386801889924406</v>
      </c>
      <c r="BC39" s="1">
        <f t="shared" si="26"/>
        <v>14.01468971517679</v>
      </c>
      <c r="BD39" s="1">
        <f t="shared" si="26"/>
        <v>14.645837905947559</v>
      </c>
      <c r="BE39" s="1">
        <f t="shared" si="26"/>
        <v>15.280480780331917</v>
      </c>
      <c r="BF39" s="1">
        <f t="shared" si="26"/>
        <v>15.918868194892099</v>
      </c>
    </row>
    <row r="40" spans="5:58" ht="12.75">
      <c r="E40" t="s">
        <v>47</v>
      </c>
      <c r="F40" s="1">
        <f>F33-$I$7*(F36+ASIN($M$9*(SIN($F$14*$F$5)*SQRT(($U$8/$M$9)^2-(SIN(F36*$F$5))^2)-COS($F$14*$F$5)*SIN(F36*$F$5)))/$F$5-$F$14)</f>
        <v>-15.885377139806774</v>
      </c>
      <c r="G40" s="1">
        <f aca="true" t="shared" si="27" ref="G40:BF40">G33-$I$7*(G36+ASIN($M$9*(SIN($F$14*$F$5)*SQRT(($U$8/$M$9)^2-(SIN(G36*$F$5))^2)-COS($F$14*$F$5)*SIN(G36*$F$5)))/$F$5-$F$14)</f>
        <v>-15.242889989548384</v>
      </c>
      <c r="H40" s="1">
        <f t="shared" si="27"/>
        <v>-14.604318645108417</v>
      </c>
      <c r="I40" s="1">
        <f t="shared" si="27"/>
        <v>-13.969413374391184</v>
      </c>
      <c r="J40" s="1">
        <f t="shared" si="27"/>
        <v>-13.337939435169186</v>
      </c>
      <c r="K40" s="1">
        <f t="shared" si="27"/>
        <v>-12.709675621527065</v>
      </c>
      <c r="L40" s="1">
        <f t="shared" si="27"/>
        <v>-12.084412967397082</v>
      </c>
      <c r="M40" s="1">
        <f t="shared" si="27"/>
        <v>-11.461953585878415</v>
      </c>
      <c r="N40" s="1">
        <f t="shared" si="27"/>
        <v>-10.842109626266701</v>
      </c>
      <c r="O40" s="1">
        <f t="shared" si="27"/>
        <v>-10.224702333392717</v>
      </c>
      <c r="P40" s="1">
        <f t="shared" si="27"/>
        <v>-9.609561196088318</v>
      </c>
      <c r="Q40" s="1">
        <f t="shared" si="27"/>
        <v>-8.996523173446409</v>
      </c>
      <c r="R40" s="1">
        <f t="shared" si="27"/>
        <v>-8.385431989085806</v>
      </c>
      <c r="S40" s="1">
        <f t="shared" si="27"/>
        <v>-7.776137484931131</v>
      </c>
      <c r="T40" s="1">
        <f t="shared" si="27"/>
        <v>-7.168495027106072</v>
      </c>
      <c r="U40" s="1">
        <f t="shared" si="27"/>
        <v>-6.5623649574612735</v>
      </c>
      <c r="V40" s="1">
        <f t="shared" si="27"/>
        <v>-5.957612085032791</v>
      </c>
      <c r="W40" s="1">
        <f t="shared" si="27"/>
        <v>-5.354105212385999</v>
      </c>
      <c r="X40" s="1">
        <f t="shared" si="27"/>
        <v>-4.75171669235584</v>
      </c>
      <c r="Y40" s="1">
        <f t="shared" si="27"/>
        <v>-4.150322011163329</v>
      </c>
      <c r="Z40" s="1">
        <f t="shared" si="27"/>
        <v>-3.549799394286394</v>
      </c>
      <c r="AA40" s="1">
        <f t="shared" si="27"/>
        <v>-2.950029431794521</v>
      </c>
      <c r="AB40" s="1">
        <f t="shared" si="27"/>
        <v>-2.350894720136255</v>
      </c>
      <c r="AC40" s="1">
        <f t="shared" si="27"/>
        <v>-1.7522795175971009</v>
      </c>
      <c r="AD40" s="1">
        <f t="shared" si="27"/>
        <v>-1.1540694108327347</v>
      </c>
      <c r="AE40" s="1">
        <f t="shared" si="27"/>
        <v>-0.5561509900294794</v>
      </c>
      <c r="AF40" s="1">
        <f t="shared" si="27"/>
        <v>0.04158846964167395</v>
      </c>
      <c r="AG40" s="1">
        <f t="shared" si="27"/>
        <v>0.639261322533363</v>
      </c>
      <c r="AH40" s="1">
        <f t="shared" si="27"/>
        <v>1.236979865198201</v>
      </c>
      <c r="AI40" s="1">
        <f t="shared" si="27"/>
        <v>1.8348566494209848</v>
      </c>
      <c r="AJ40" s="1">
        <f t="shared" si="27"/>
        <v>2.4330047978056726</v>
      </c>
      <c r="AK40" s="1">
        <f t="shared" si="27"/>
        <v>3.03153832415709</v>
      </c>
      <c r="AL40" s="1">
        <f t="shared" si="27"/>
        <v>3.6305724609706758</v>
      </c>
      <c r="AM40" s="1">
        <f t="shared" si="27"/>
        <v>4.230223996447606</v>
      </c>
      <c r="AN40" s="1">
        <f t="shared" si="27"/>
        <v>4.830611623595175</v>
      </c>
      <c r="AO40" s="1">
        <f t="shared" si="27"/>
        <v>5.431856304150713</v>
      </c>
      <c r="AP40" s="1">
        <f t="shared" si="27"/>
        <v>6.034081650291309</v>
      </c>
      <c r="AQ40" s="1">
        <f t="shared" si="27"/>
        <v>6.637414327362833</v>
      </c>
      <c r="AR40" s="1">
        <f t="shared" si="27"/>
        <v>7.241984481189974</v>
      </c>
      <c r="AS40" s="1">
        <f t="shared" si="27"/>
        <v>7.847926193920905</v>
      </c>
      <c r="AT40" s="1">
        <f t="shared" si="27"/>
        <v>8.455377972827304</v>
      </c>
      <c r="AU40" s="1">
        <f t="shared" si="27"/>
        <v>9.064483277035539</v>
      </c>
      <c r="AV40" s="1">
        <f t="shared" si="27"/>
        <v>9.675391087823876</v>
      </c>
      <c r="AW40" s="1">
        <f t="shared" si="27"/>
        <v>10.288256528903176</v>
      </c>
      <c r="AX40" s="1">
        <f t="shared" si="27"/>
        <v>10.903241544029047</v>
      </c>
      <c r="AY40" s="1">
        <f t="shared" si="27"/>
        <v>11.520515640402042</v>
      </c>
      <c r="AZ40" s="1">
        <f t="shared" si="27"/>
        <v>12.140256707635519</v>
      </c>
      <c r="BA40" s="1">
        <f t="shared" si="27"/>
        <v>12.76265192365689</v>
      </c>
      <c r="BB40" s="1">
        <f t="shared" si="27"/>
        <v>13.387898760812398</v>
      </c>
      <c r="BC40" s="1">
        <f t="shared" si="27"/>
        <v>14.016206107745134</v>
      </c>
      <c r="BD40" s="1">
        <f t="shared" si="27"/>
        <v>14.647795525399584</v>
      </c>
      <c r="BE40" s="1">
        <f t="shared" si="27"/>
        <v>15.282902658897608</v>
      </c>
      <c r="BF40" s="1">
        <f t="shared" si="27"/>
        <v>15.92177883117468</v>
      </c>
    </row>
    <row r="41" spans="6:58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5:58" ht="12.75">
      <c r="E42" t="s">
        <v>100</v>
      </c>
      <c r="F42" s="1">
        <f>F6*$J$65</f>
        <v>-15.823193759320972</v>
      </c>
      <c r="G42" s="1">
        <f aca="true" t="shared" si="28" ref="G42:BF42">G6*$J$65</f>
        <v>-15.214609383962474</v>
      </c>
      <c r="H42" s="1">
        <f t="shared" si="28"/>
        <v>-14.606025008603975</v>
      </c>
      <c r="I42" s="1">
        <f t="shared" si="28"/>
        <v>-13.997440633245475</v>
      </c>
      <c r="J42" s="1">
        <f t="shared" si="28"/>
        <v>-13.388856257886976</v>
      </c>
      <c r="K42" s="1">
        <f t="shared" si="28"/>
        <v>-12.780271882528478</v>
      </c>
      <c r="L42" s="1">
        <f t="shared" si="28"/>
        <v>-12.171687507169977</v>
      </c>
      <c r="M42" s="1">
        <f t="shared" si="28"/>
        <v>-11.563103131811479</v>
      </c>
      <c r="N42" s="1">
        <f t="shared" si="28"/>
        <v>-10.95451875645298</v>
      </c>
      <c r="O42" s="1">
        <f t="shared" si="28"/>
        <v>-10.34593438109448</v>
      </c>
      <c r="P42" s="1">
        <f t="shared" si="28"/>
        <v>-9.737350005735982</v>
      </c>
      <c r="Q42" s="1">
        <f t="shared" si="28"/>
        <v>-9.128765630377483</v>
      </c>
      <c r="R42" s="1">
        <f t="shared" si="28"/>
        <v>-8.520181255018983</v>
      </c>
      <c r="S42" s="1">
        <f t="shared" si="28"/>
        <v>-7.911596879660484</v>
      </c>
      <c r="T42" s="1">
        <f t="shared" si="28"/>
        <v>-7.303012504301985</v>
      </c>
      <c r="U42" s="1">
        <f t="shared" si="28"/>
        <v>-6.6944281289434855</v>
      </c>
      <c r="V42" s="1">
        <f t="shared" si="28"/>
        <v>-6.085843753584987</v>
      </c>
      <c r="W42" s="1">
        <f t="shared" si="28"/>
        <v>-5.477259378226488</v>
      </c>
      <c r="X42" s="1">
        <f t="shared" si="28"/>
        <v>-4.868675002867988</v>
      </c>
      <c r="Y42" s="1">
        <f t="shared" si="28"/>
        <v>-4.26009062750949</v>
      </c>
      <c r="Z42" s="1">
        <f t="shared" si="28"/>
        <v>-3.6515062521509902</v>
      </c>
      <c r="AA42" s="1">
        <f t="shared" si="28"/>
        <v>-3.042921876792491</v>
      </c>
      <c r="AB42" s="1">
        <f t="shared" si="28"/>
        <v>-2.434337501433992</v>
      </c>
      <c r="AC42" s="1">
        <f t="shared" si="28"/>
        <v>-1.8257531260754927</v>
      </c>
      <c r="AD42" s="1">
        <f t="shared" si="28"/>
        <v>-1.2171687507169937</v>
      </c>
      <c r="AE42" s="1">
        <f t="shared" si="28"/>
        <v>-0.6085843753584947</v>
      </c>
      <c r="AF42" s="1">
        <f t="shared" si="28"/>
        <v>4.245424558386614E-15</v>
      </c>
      <c r="AG42" s="1">
        <f t="shared" si="28"/>
        <v>0.6085843753585033</v>
      </c>
      <c r="AH42" s="1">
        <f t="shared" si="28"/>
        <v>1.2171687507170021</v>
      </c>
      <c r="AI42" s="1">
        <f t="shared" si="28"/>
        <v>1.8257531260755013</v>
      </c>
      <c r="AJ42" s="1">
        <f t="shared" si="28"/>
        <v>2.4343375014340003</v>
      </c>
      <c r="AK42" s="1">
        <f t="shared" si="28"/>
        <v>3.0429218767924993</v>
      </c>
      <c r="AL42" s="1">
        <f t="shared" si="28"/>
        <v>3.651506252150998</v>
      </c>
      <c r="AM42" s="1">
        <f t="shared" si="28"/>
        <v>4.260090627509498</v>
      </c>
      <c r="AN42" s="1">
        <f t="shared" si="28"/>
        <v>4.868675002867997</v>
      </c>
      <c r="AO42" s="1">
        <f t="shared" si="28"/>
        <v>5.477259378226496</v>
      </c>
      <c r="AP42" s="1">
        <f t="shared" si="28"/>
        <v>6.085843753584995</v>
      </c>
      <c r="AQ42" s="1">
        <f t="shared" si="28"/>
        <v>6.694428128943494</v>
      </c>
      <c r="AR42" s="1">
        <f t="shared" si="28"/>
        <v>7.303012504301993</v>
      </c>
      <c r="AS42" s="1">
        <f t="shared" si="28"/>
        <v>7.911596879660492</v>
      </c>
      <c r="AT42" s="1">
        <f t="shared" si="28"/>
        <v>8.520181255018992</v>
      </c>
      <c r="AU42" s="1">
        <f t="shared" si="28"/>
        <v>9.12876563037749</v>
      </c>
      <c r="AV42" s="1">
        <f t="shared" si="28"/>
        <v>9.73735000573599</v>
      </c>
      <c r="AW42" s="1">
        <f t="shared" si="28"/>
        <v>10.345934381094489</v>
      </c>
      <c r="AX42" s="1">
        <f t="shared" si="28"/>
        <v>10.954518756452988</v>
      </c>
      <c r="AY42" s="1">
        <f t="shared" si="28"/>
        <v>11.563103131811486</v>
      </c>
      <c r="AZ42" s="1">
        <f t="shared" si="28"/>
        <v>12.171687507169985</v>
      </c>
      <c r="BA42" s="1">
        <f t="shared" si="28"/>
        <v>12.780271882528485</v>
      </c>
      <c r="BB42" s="1">
        <f t="shared" si="28"/>
        <v>13.388856257886983</v>
      </c>
      <c r="BC42" s="1">
        <f t="shared" si="28"/>
        <v>13.997440633245482</v>
      </c>
      <c r="BD42" s="1">
        <f t="shared" si="28"/>
        <v>14.606025008603982</v>
      </c>
      <c r="BE42" s="1">
        <f t="shared" si="28"/>
        <v>15.21460938396248</v>
      </c>
      <c r="BF42" s="1">
        <f t="shared" si="28"/>
        <v>15.823193759320972</v>
      </c>
    </row>
    <row r="43" spans="6:58" ht="12.7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5:58" ht="12.75">
      <c r="E44" t="s">
        <v>101</v>
      </c>
      <c r="F44" s="1">
        <f>F$6*$J$65+$BH$18</f>
        <v>-15.785011237882618</v>
      </c>
      <c r="G44" s="1">
        <f aca="true" t="shared" si="29" ref="G44:BF44">G$6*$J$65+$BH$18</f>
        <v>-15.176426862524119</v>
      </c>
      <c r="H44" s="1">
        <f t="shared" si="29"/>
        <v>-14.56784248716562</v>
      </c>
      <c r="I44" s="1">
        <f t="shared" si="29"/>
        <v>-13.95925811180712</v>
      </c>
      <c r="J44" s="1">
        <f t="shared" si="29"/>
        <v>-13.350673736448622</v>
      </c>
      <c r="K44" s="1">
        <f t="shared" si="29"/>
        <v>-12.742089361090123</v>
      </c>
      <c r="L44" s="1">
        <f t="shared" si="29"/>
        <v>-12.133504985731623</v>
      </c>
      <c r="M44" s="1">
        <f t="shared" si="29"/>
        <v>-11.524920610373124</v>
      </c>
      <c r="N44" s="1">
        <f t="shared" si="29"/>
        <v>-10.916336235014626</v>
      </c>
      <c r="O44" s="1">
        <f t="shared" si="29"/>
        <v>-10.307751859656126</v>
      </c>
      <c r="P44" s="1">
        <f t="shared" si="29"/>
        <v>-9.699167484297627</v>
      </c>
      <c r="Q44" s="1">
        <f t="shared" si="29"/>
        <v>-9.090583108939128</v>
      </c>
      <c r="R44" s="1">
        <f t="shared" si="29"/>
        <v>-8.481998733580628</v>
      </c>
      <c r="S44" s="1">
        <f t="shared" si="29"/>
        <v>-7.87341435822213</v>
      </c>
      <c r="T44" s="1">
        <f t="shared" si="29"/>
        <v>-7.26482998286363</v>
      </c>
      <c r="U44" s="1">
        <f t="shared" si="29"/>
        <v>-6.656245607505131</v>
      </c>
      <c r="V44" s="1">
        <f t="shared" si="29"/>
        <v>-6.047661232146632</v>
      </c>
      <c r="W44" s="1">
        <f t="shared" si="29"/>
        <v>-5.439076856788133</v>
      </c>
      <c r="X44" s="1">
        <f t="shared" si="29"/>
        <v>-4.8304924814296335</v>
      </c>
      <c r="Y44" s="1">
        <f t="shared" si="29"/>
        <v>-4.221908106071135</v>
      </c>
      <c r="Z44" s="1">
        <f t="shared" si="29"/>
        <v>-3.6133237307126356</v>
      </c>
      <c r="AA44" s="1">
        <f t="shared" si="29"/>
        <v>-3.004739355354136</v>
      </c>
      <c r="AB44" s="1">
        <f t="shared" si="29"/>
        <v>-2.396154979995637</v>
      </c>
      <c r="AC44" s="1">
        <f t="shared" si="29"/>
        <v>-1.7875706046371382</v>
      </c>
      <c r="AD44" s="1">
        <f t="shared" si="29"/>
        <v>-1.1789862292786393</v>
      </c>
      <c r="AE44" s="1">
        <f t="shared" si="29"/>
        <v>-0.5704018539201402</v>
      </c>
      <c r="AF44" s="1">
        <f t="shared" si="29"/>
        <v>0.03818252143835874</v>
      </c>
      <c r="AG44" s="1">
        <f t="shared" si="29"/>
        <v>0.6467668967968578</v>
      </c>
      <c r="AH44" s="1">
        <f t="shared" si="29"/>
        <v>1.2553512721553566</v>
      </c>
      <c r="AI44" s="1">
        <f t="shared" si="29"/>
        <v>1.8639356475138558</v>
      </c>
      <c r="AJ44" s="1">
        <f t="shared" si="29"/>
        <v>2.472520022872355</v>
      </c>
      <c r="AK44" s="1">
        <f t="shared" si="29"/>
        <v>3.081104398230854</v>
      </c>
      <c r="AL44" s="1">
        <f t="shared" si="29"/>
        <v>3.689688773589353</v>
      </c>
      <c r="AM44" s="1">
        <f t="shared" si="29"/>
        <v>4.298273148947852</v>
      </c>
      <c r="AN44" s="1">
        <f t="shared" si="29"/>
        <v>4.906857524306352</v>
      </c>
      <c r="AO44" s="1">
        <f t="shared" si="29"/>
        <v>5.51544189966485</v>
      </c>
      <c r="AP44" s="1">
        <f t="shared" si="29"/>
        <v>6.12402627502335</v>
      </c>
      <c r="AQ44" s="1">
        <f t="shared" si="29"/>
        <v>6.732610650381849</v>
      </c>
      <c r="AR44" s="1">
        <f t="shared" si="29"/>
        <v>7.3411950257403475</v>
      </c>
      <c r="AS44" s="1">
        <f t="shared" si="29"/>
        <v>7.949779401098847</v>
      </c>
      <c r="AT44" s="1">
        <f t="shared" si="29"/>
        <v>8.558363776457346</v>
      </c>
      <c r="AU44" s="1">
        <f t="shared" si="29"/>
        <v>9.166948151815845</v>
      </c>
      <c r="AV44" s="1">
        <f t="shared" si="29"/>
        <v>9.775532527174345</v>
      </c>
      <c r="AW44" s="1">
        <f t="shared" si="29"/>
        <v>10.384116902532844</v>
      </c>
      <c r="AX44" s="1">
        <f t="shared" si="29"/>
        <v>10.992701277891342</v>
      </c>
      <c r="AY44" s="1">
        <f t="shared" si="29"/>
        <v>11.60128565324984</v>
      </c>
      <c r="AZ44" s="1">
        <f t="shared" si="29"/>
        <v>12.20987002860834</v>
      </c>
      <c r="BA44" s="1">
        <f t="shared" si="29"/>
        <v>12.81845440396684</v>
      </c>
      <c r="BB44" s="1">
        <f t="shared" si="29"/>
        <v>13.427038779325338</v>
      </c>
      <c r="BC44" s="1">
        <f t="shared" si="29"/>
        <v>14.035623154683837</v>
      </c>
      <c r="BD44" s="1">
        <f t="shared" si="29"/>
        <v>14.644207530042337</v>
      </c>
      <c r="BE44" s="1">
        <f t="shared" si="29"/>
        <v>15.252791905400835</v>
      </c>
      <c r="BF44" s="1">
        <f t="shared" si="29"/>
        <v>15.861376280759327</v>
      </c>
    </row>
    <row r="45" spans="5:58" s="2" customFormat="1" ht="12.75">
      <c r="E45" s="2" t="s">
        <v>102</v>
      </c>
      <c r="F45" s="2">
        <f>(F38-F42)^2</f>
        <v>0.003790545192871217</v>
      </c>
      <c r="G45" s="2">
        <f aca="true" t="shared" si="30" ref="G45:AJ45">(G38-G42)^2</f>
        <v>0.0007489789416714148</v>
      </c>
      <c r="H45" s="2">
        <f t="shared" si="30"/>
        <v>8.433710783781923E-06</v>
      </c>
      <c r="I45" s="2">
        <f t="shared" si="30"/>
        <v>0.0008701108707007173</v>
      </c>
      <c r="J45" s="2">
        <f t="shared" si="30"/>
        <v>0.0027718643243309503</v>
      </c>
      <c r="K45" s="2">
        <f t="shared" si="30"/>
        <v>0.005267620797670954</v>
      </c>
      <c r="L45" s="2">
        <f t="shared" si="30"/>
        <v>0.00800966286458863</v>
      </c>
      <c r="M45" s="2">
        <f t="shared" si="30"/>
        <v>0.010733343224473845</v>
      </c>
      <c r="N45" s="2">
        <f t="shared" si="30"/>
        <v>0.013243870783265504</v>
      </c>
      <c r="O45" s="2">
        <f t="shared" si="30"/>
        <v>0.015404867985461602</v>
      </c>
      <c r="P45" s="2">
        <f t="shared" si="30"/>
        <v>0.017128447230068285</v>
      </c>
      <c r="Q45" s="2">
        <f t="shared" si="30"/>
        <v>0.01836659413448984</v>
      </c>
      <c r="R45" s="2">
        <f t="shared" si="30"/>
        <v>0.01910367851088408</v>
      </c>
      <c r="S45" s="2">
        <f t="shared" si="30"/>
        <v>0.019349941477908254</v>
      </c>
      <c r="T45" s="2">
        <f t="shared" si="30"/>
        <v>0.01913583017323769</v>
      </c>
      <c r="U45" s="2">
        <f t="shared" si="30"/>
        <v>0.018507070883516448</v>
      </c>
      <c r="V45" s="2">
        <f t="shared" si="30"/>
        <v>0.01752038773157685</v>
      </c>
      <c r="W45" s="2">
        <f t="shared" si="30"/>
        <v>0.016239787893501983</v>
      </c>
      <c r="X45" s="2">
        <f t="shared" si="30"/>
        <v>0.014733346098104162</v>
      </c>
      <c r="Y45" s="2">
        <f t="shared" si="30"/>
        <v>0.013070431247064643</v>
      </c>
      <c r="Z45" s="2">
        <f t="shared" si="30"/>
        <v>0.011319326680701016</v>
      </c>
      <c r="AA45" s="2">
        <f t="shared" si="30"/>
        <v>0.009545203145443258</v>
      </c>
      <c r="AB45" s="2">
        <f t="shared" si="30"/>
        <v>0.007808410100549385</v>
      </c>
      <c r="AC45" s="2">
        <f t="shared" si="30"/>
        <v>0.006163056803726355</v>
      </c>
      <c r="AD45" s="2">
        <f t="shared" si="30"/>
        <v>0.004655859784353319</v>
      </c>
      <c r="AE45" s="2">
        <f t="shared" si="30"/>
        <v>0.003325237975942274</v>
      </c>
      <c r="AF45" s="2">
        <f t="shared" si="30"/>
        <v>0.0022006410442896216</v>
      </c>
      <c r="AG45" s="2">
        <f t="shared" si="30"/>
        <v>0.0013021004136687935</v>
      </c>
      <c r="AH45" s="2">
        <f t="shared" si="30"/>
        <v>0.00063999624803471</v>
      </c>
      <c r="AI45" s="2">
        <f t="shared" si="30"/>
        <v>0.00021503727080723556</v>
      </c>
      <c r="AJ45" s="2">
        <f t="shared" si="30"/>
        <v>1.8453883905669555E-05</v>
      </c>
      <c r="AK45" s="2">
        <f aca="true" t="shared" si="31" ref="AK45:BF45">(AK38-AK42)^2</f>
        <v>3.24086525405074E-05</v>
      </c>
      <c r="AL45" s="2">
        <f t="shared" si="31"/>
        <v>0.0002306319361045986</v>
      </c>
      <c r="AM45" s="2">
        <f t="shared" si="31"/>
        <v>0.0005792943503260048</v>
      </c>
      <c r="AN45" s="2">
        <f t="shared" si="31"/>
        <v>0.001038131931489325</v>
      </c>
      <c r="AO45" s="2">
        <f t="shared" si="31"/>
        <v>0.0015618444389530624</v>
      </c>
      <c r="AP45" s="2">
        <f t="shared" si="31"/>
        <v>0.002101792289598212</v>
      </c>
      <c r="AQ45" s="2">
        <f t="shared" si="31"/>
        <v>0.002608023296022631</v>
      </c>
      <c r="AR45" s="2">
        <f t="shared" si="31"/>
        <v>0.003031666830286796</v>
      </c>
      <c r="AS45" s="2">
        <f t="shared" si="31"/>
        <v>0.0033277404349643606</v>
      </c>
      <c r="AT45" s="2">
        <f t="shared" si="31"/>
        <v>0.0034584224668226834</v>
      </c>
      <c r="AU45" s="2">
        <f t="shared" si="31"/>
        <v>0.0033968543432566244</v>
      </c>
      <c r="AV45" s="2">
        <f t="shared" si="31"/>
        <v>0.003131547680739245</v>
      </c>
      <c r="AW45" s="2">
        <f t="shared" si="31"/>
        <v>0.0026714854516823308</v>
      </c>
      <c r="AX45" s="2">
        <f t="shared" si="31"/>
        <v>0.002052022713761916</v>
      </c>
      <c r="AY45" s="2">
        <f t="shared" si="31"/>
        <v>0.001341712069314695</v>
      </c>
      <c r="AZ45" s="2">
        <f t="shared" si="31"/>
        <v>0.0006502025218453729</v>
      </c>
      <c r="BA45" s="2">
        <f t="shared" si="31"/>
        <v>0.0001373887263831658</v>
      </c>
      <c r="BB45" s="2">
        <f t="shared" si="31"/>
        <v>2.40219329839131E-05</v>
      </c>
      <c r="BC45" s="2">
        <f t="shared" si="31"/>
        <v>0.0006040356593776383</v>
      </c>
      <c r="BD45" s="2">
        <f t="shared" si="31"/>
        <v>0.002258890162111246</v>
      </c>
      <c r="BE45" s="2">
        <f t="shared" si="31"/>
        <v>0.005474302495715693</v>
      </c>
      <c r="BF45" s="2">
        <f t="shared" si="31"/>
        <v>0.010859806441669898</v>
      </c>
    </row>
    <row r="46" spans="5:58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5:58" ht="12.75">
      <c r="E47" s="2" t="s">
        <v>98</v>
      </c>
      <c r="F47" s="2">
        <f>F38-F44</f>
        <v>-0.09974992509378922</v>
      </c>
      <c r="G47" s="2">
        <f aca="true" t="shared" si="32" ref="G47:AO47">G38-G44</f>
        <v>-0.0655500010751684</v>
      </c>
      <c r="H47" s="2">
        <f t="shared" si="32"/>
        <v>-0.035278436249559064</v>
      </c>
      <c r="I47" s="2">
        <f t="shared" si="32"/>
        <v>-0.008684879656328803</v>
      </c>
      <c r="J47" s="2">
        <f t="shared" si="32"/>
        <v>0.014465976397110225</v>
      </c>
      <c r="K47" s="2">
        <f t="shared" si="32"/>
        <v>0.034395855490803484</v>
      </c>
      <c r="L47" s="2">
        <f t="shared" si="32"/>
        <v>0.05131419841544016</v>
      </c>
      <c r="M47" s="2">
        <f t="shared" si="32"/>
        <v>0.06541932808410245</v>
      </c>
      <c r="N47" s="2">
        <f t="shared" si="32"/>
        <v>0.07689949619804892</v>
      </c>
      <c r="O47" s="2">
        <f t="shared" si="32"/>
        <v>0.08593382714418141</v>
      </c>
      <c r="P47" s="2">
        <f t="shared" si="32"/>
        <v>0.09269317237095542</v>
      </c>
      <c r="Q47" s="2">
        <f t="shared" si="32"/>
        <v>0.09734088663010354</v>
      </c>
      <c r="R47" s="2">
        <f t="shared" si="32"/>
        <v>0.10003353591709185</v>
      </c>
      <c r="S47" s="2">
        <f t="shared" si="32"/>
        <v>0.10092154564060696</v>
      </c>
      <c r="T47" s="2">
        <f t="shared" si="32"/>
        <v>0.10014979645315503</v>
      </c>
      <c r="U47" s="2">
        <f t="shared" si="32"/>
        <v>0.09785817425053267</v>
      </c>
      <c r="V47" s="2">
        <f t="shared" si="32"/>
        <v>0.09418208006664308</v>
      </c>
      <c r="W47" s="2">
        <f t="shared" si="32"/>
        <v>0.0892529049292845</v>
      </c>
      <c r="X47" s="2">
        <f t="shared" si="32"/>
        <v>0.08319847418330006</v>
      </c>
      <c r="Y47" s="2">
        <f t="shared" si="32"/>
        <v>0.07614346531472194</v>
      </c>
      <c r="Z47" s="2">
        <f t="shared" si="32"/>
        <v>0.06820980291214074</v>
      </c>
      <c r="AA47" s="2">
        <f t="shared" si="32"/>
        <v>0.05951703406443798</v>
      </c>
      <c r="AB47" s="2">
        <f t="shared" si="32"/>
        <v>0.05018268721612307</v>
      </c>
      <c r="AC47" s="2">
        <f t="shared" si="32"/>
        <v>0.04032261727069031</v>
      </c>
      <c r="AD47" s="2">
        <f t="shared" si="32"/>
        <v>0.03005133954249084</v>
      </c>
      <c r="AE47" s="2">
        <f t="shared" si="32"/>
        <v>0.019482355011198993</v>
      </c>
      <c r="AF47" s="2">
        <f t="shared" si="32"/>
        <v>0.008728469217243705</v>
      </c>
      <c r="AG47" s="2">
        <f t="shared" si="32"/>
        <v>-0.002097892942708457</v>
      </c>
      <c r="AH47" s="2">
        <f t="shared" si="32"/>
        <v>-0.012884374311841196</v>
      </c>
      <c r="AI47" s="2">
        <f t="shared" si="32"/>
        <v>-0.023518372270835863</v>
      </c>
      <c r="AJ47" s="2">
        <f t="shared" si="32"/>
        <v>-0.03388672303693152</v>
      </c>
      <c r="AK47" s="2">
        <f t="shared" si="32"/>
        <v>-0.043875381224130816</v>
      </c>
      <c r="AL47" s="2">
        <f t="shared" si="32"/>
        <v>-0.05336909235165166</v>
      </c>
      <c r="AM47" s="2">
        <f t="shared" si="32"/>
        <v>-0.06225105588326851</v>
      </c>
      <c r="AN47" s="2">
        <f t="shared" si="32"/>
        <v>-0.07040257624105983</v>
      </c>
      <c r="AO47" s="2">
        <f t="shared" si="32"/>
        <v>-0.0777026990562888</v>
      </c>
      <c r="AP47" s="2">
        <f aca="true" t="shared" si="33" ref="AP47:BE47">AP38-AP44</f>
        <v>-0.08402782969992284</v>
      </c>
      <c r="AQ47" s="2">
        <f t="shared" si="33"/>
        <v>-0.08925133086272474</v>
      </c>
      <c r="AR47" s="2">
        <f t="shared" si="33"/>
        <v>-0.09324309562975586</v>
      </c>
      <c r="AS47" s="2">
        <f t="shared" si="33"/>
        <v>-0.09586909210228267</v>
      </c>
      <c r="AT47" s="2">
        <f t="shared" si="33"/>
        <v>-0.09699087515466509</v>
      </c>
      <c r="AU47" s="2">
        <f t="shared" si="33"/>
        <v>-0.09646506036088809</v>
      </c>
      <c r="AV47" s="2">
        <f t="shared" si="33"/>
        <v>-0.09414275446806286</v>
      </c>
      <c r="AW47" s="2">
        <f t="shared" si="33"/>
        <v>-0.0898689360139695</v>
      </c>
      <c r="AX47" s="2">
        <f t="shared" si="33"/>
        <v>-0.08348177875855711</v>
      </c>
      <c r="AY47" s="2">
        <f t="shared" si="33"/>
        <v>-0.0748119094937767</v>
      </c>
      <c r="AZ47" s="2">
        <f t="shared" si="33"/>
        <v>-0.06368159047715238</v>
      </c>
      <c r="BA47" s="2">
        <f t="shared" si="33"/>
        <v>-0.04990381515462872</v>
      </c>
      <c r="BB47" s="2">
        <f t="shared" si="33"/>
        <v>-0.03328130393819073</v>
      </c>
      <c r="BC47" s="2">
        <f t="shared" si="33"/>
        <v>-0.013605384514423946</v>
      </c>
      <c r="BD47" s="2">
        <f t="shared" si="33"/>
        <v>0.009345261616520162</v>
      </c>
      <c r="BE47" s="2">
        <f t="shared" si="33"/>
        <v>0.03580600804909828</v>
      </c>
      <c r="BF47" s="2">
        <f>BF38-BF44</f>
        <v>0.06602787363656049</v>
      </c>
    </row>
    <row r="48" spans="5:58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5:58" s="12" customFormat="1" ht="12.75">
      <c r="E49" s="12" t="s">
        <v>99</v>
      </c>
      <c r="F49" s="12">
        <f>F47^2</f>
        <v>0.009950047556216559</v>
      </c>
      <c r="G49" s="12">
        <f aca="true" t="shared" si="34" ref="G49:BF49">G47^2</f>
        <v>0.004296802640954578</v>
      </c>
      <c r="H49" s="12">
        <f t="shared" si="34"/>
        <v>0.0012445680642142031</v>
      </c>
      <c r="I49" s="12">
        <f t="shared" si="34"/>
        <v>7.542713464491392E-05</v>
      </c>
      <c r="J49" s="12">
        <f t="shared" si="34"/>
        <v>0.00020926447312175013</v>
      </c>
      <c r="K49" s="12">
        <f t="shared" si="34"/>
        <v>0.001183074874944236</v>
      </c>
      <c r="L49" s="12">
        <f t="shared" si="34"/>
        <v>0.0026331469590191612</v>
      </c>
      <c r="M49" s="12">
        <f t="shared" si="34"/>
        <v>0.004279688486975435</v>
      </c>
      <c r="N49" s="12">
        <f t="shared" si="34"/>
        <v>0.005913532515513741</v>
      </c>
      <c r="O49" s="12">
        <f t="shared" si="34"/>
        <v>0.007384622647646049</v>
      </c>
      <c r="P49" s="12">
        <f t="shared" si="34"/>
        <v>0.008592024204191653</v>
      </c>
      <c r="Q49" s="12">
        <f t="shared" si="34"/>
        <v>0.00947524820993467</v>
      </c>
      <c r="R49" s="12">
        <f t="shared" si="34"/>
        <v>0.010006708308076106</v>
      </c>
      <c r="S49" s="12">
        <f t="shared" si="34"/>
        <v>0.010185158374489113</v>
      </c>
      <c r="T49" s="12">
        <f t="shared" si="34"/>
        <v>0.010029981729608383</v>
      </c>
      <c r="U49" s="12">
        <f t="shared" si="34"/>
        <v>0.009576222267647615</v>
      </c>
      <c r="V49" s="12">
        <f t="shared" si="34"/>
        <v>0.008870264205679568</v>
      </c>
      <c r="W49" s="12">
        <f t="shared" si="34"/>
        <v>0.007966081038315899</v>
      </c>
      <c r="X49" s="12">
        <f t="shared" si="34"/>
        <v>0.006921986106429247</v>
      </c>
      <c r="Y49" s="12">
        <f t="shared" si="34"/>
        <v>0.005797827310134262</v>
      </c>
      <c r="Z49" s="12">
        <f t="shared" si="34"/>
        <v>0.004652577213313083</v>
      </c>
      <c r="AA49" s="12">
        <f t="shared" si="34"/>
        <v>0.0035422773438274708</v>
      </c>
      <c r="AB49" s="12">
        <f t="shared" si="34"/>
        <v>0.0025183020962312413</v>
      </c>
      <c r="AC49" s="12">
        <f t="shared" si="34"/>
        <v>0.0016259134635585723</v>
      </c>
      <c r="AD49" s="12">
        <f t="shared" si="34"/>
        <v>0.0009030830082980735</v>
      </c>
      <c r="AE49" s="12">
        <f t="shared" si="34"/>
        <v>0.0003795621567823905</v>
      </c>
      <c r="AF49" s="12">
        <f t="shared" si="34"/>
        <v>7.618617487637093E-05</v>
      </c>
      <c r="AG49" s="12">
        <f t="shared" si="34"/>
        <v>4.401154799065949E-06</v>
      </c>
      <c r="AH49" s="12">
        <f t="shared" si="34"/>
        <v>0.0001660071014076333</v>
      </c>
      <c r="AI49" s="12">
        <f t="shared" si="34"/>
        <v>0.0005531138342696212</v>
      </c>
      <c r="AJ49" s="12">
        <f t="shared" si="34"/>
        <v>0.0011483099981817054</v>
      </c>
      <c r="AK49" s="12">
        <f t="shared" si="34"/>
        <v>0.0019250490775628108</v>
      </c>
      <c r="AL49" s="12">
        <f t="shared" si="34"/>
        <v>0.0028482600184391235</v>
      </c>
      <c r="AM49" s="12">
        <f t="shared" si="34"/>
        <v>0.0038751939585818193</v>
      </c>
      <c r="AN49" s="12">
        <f t="shared" si="34"/>
        <v>0.004956522741378242</v>
      </c>
      <c r="AO49" s="12">
        <f t="shared" si="34"/>
        <v>0.006037709440632183</v>
      </c>
      <c r="AP49" s="12">
        <f t="shared" si="34"/>
        <v>0.007060676164079235</v>
      </c>
      <c r="AQ49" s="12">
        <f t="shared" si="34"/>
        <v>0.007965800060767561</v>
      </c>
      <c r="AR49" s="12">
        <f t="shared" si="34"/>
        <v>0.008694274882619795</v>
      </c>
      <c r="AS49" s="12">
        <f t="shared" si="34"/>
        <v>0.009190882820515958</v>
      </c>
      <c r="AT49" s="12">
        <f t="shared" si="34"/>
        <v>0.00940722986326783</v>
      </c>
      <c r="AU49" s="12">
        <f t="shared" si="34"/>
        <v>0.009305507870429783</v>
      </c>
      <c r="AV49" s="12">
        <f t="shared" si="34"/>
        <v>0.00886285821883397</v>
      </c>
      <c r="AW49" s="12">
        <f t="shared" si="34"/>
        <v>0.008076425660282945</v>
      </c>
      <c r="AX49" s="12">
        <f t="shared" si="34"/>
        <v>0.006969207384692678</v>
      </c>
      <c r="AY49" s="12">
        <f t="shared" si="34"/>
        <v>0.005596821802105036</v>
      </c>
      <c r="AZ49" s="12">
        <f t="shared" si="34"/>
        <v>0.004055344965699745</v>
      </c>
      <c r="BA49" s="12">
        <f t="shared" si="34"/>
        <v>0.0024903907669873507</v>
      </c>
      <c r="BB49" s="12">
        <f t="shared" si="34"/>
        <v>0.0011076451918262298</v>
      </c>
      <c r="BC49" s="12">
        <f t="shared" si="34"/>
        <v>0.0001851064877853269</v>
      </c>
      <c r="BD49" s="12">
        <f t="shared" si="34"/>
        <v>8.733391468120503E-05</v>
      </c>
      <c r="BE49" s="12">
        <f t="shared" si="34"/>
        <v>0.001282070212412091</v>
      </c>
      <c r="BF49" s="12">
        <f t="shared" si="34"/>
        <v>0.004359680096965599</v>
      </c>
    </row>
    <row r="50" s="12" customFormat="1" ht="12.75"/>
    <row r="51" spans="5:7" ht="12.75">
      <c r="E51" s="15" t="s">
        <v>103</v>
      </c>
      <c r="F51" s="13">
        <f>SUM($F$45:$BF$45)</f>
        <v>0.3317703642535425</v>
      </c>
      <c r="G51" s="13"/>
    </row>
    <row r="52" spans="5:7" ht="12.75">
      <c r="E52" s="15"/>
      <c r="F52" s="13"/>
      <c r="G52" s="13"/>
    </row>
    <row r="53" spans="5:7" ht="12.75">
      <c r="E53" s="15" t="s">
        <v>104</v>
      </c>
      <c r="F53" s="13"/>
      <c r="G53" s="13">
        <f>SUM($F$49:$BF$49)</f>
        <v>0.2545014022538489</v>
      </c>
    </row>
    <row r="54" spans="5:7" ht="12.75">
      <c r="E54" s="15"/>
      <c r="F54" s="13"/>
      <c r="G54" s="13"/>
    </row>
    <row r="55" spans="5:58" s="12" customFormat="1" ht="12.75">
      <c r="E55" s="12" t="s">
        <v>16</v>
      </c>
      <c r="F55" s="12">
        <f>(F38-F39)*$F$5*$F$64*1000</f>
        <v>-0.22751125992211507</v>
      </c>
      <c r="G55" s="12">
        <f aca="true" t="shared" si="35" ref="G55:BF55">(G38-G39)*$F$5*$F$64*1000</f>
        <v>-0.21623437287549482</v>
      </c>
      <c r="H55" s="12">
        <f t="shared" si="35"/>
        <v>-0.20508263187808132</v>
      </c>
      <c r="I55" s="12">
        <f t="shared" si="35"/>
        <v>-0.19403658521034425</v>
      </c>
      <c r="J55" s="12">
        <f t="shared" si="35"/>
        <v>-0.18307805779881262</v>
      </c>
      <c r="K55" s="12">
        <f t="shared" si="35"/>
        <v>-0.17218998480115674</v>
      </c>
      <c r="L55" s="12">
        <f t="shared" si="35"/>
        <v>-0.1613562657932572</v>
      </c>
      <c r="M55" s="12">
        <f t="shared" si="35"/>
        <v>-0.15056163621263433</v>
      </c>
      <c r="N55" s="12">
        <f t="shared" si="35"/>
        <v>-0.13979155334632087</v>
      </c>
      <c r="O55" s="12">
        <f t="shared" si="35"/>
        <v>-0.12903209461481963</v>
      </c>
      <c r="P55" s="12">
        <f t="shared" si="35"/>
        <v>-0.1182698661915607</v>
      </c>
      <c r="Q55" s="12">
        <f t="shared" si="35"/>
        <v>-0.10749192032020419</v>
      </c>
      <c r="R55" s="12">
        <f t="shared" si="35"/>
        <v>-0.0966856800519565</v>
      </c>
      <c r="S55" s="12">
        <f t="shared" si="35"/>
        <v>-0.08583887010119719</v>
      </c>
      <c r="T55" s="12">
        <f t="shared" si="35"/>
        <v>-0.07493945283934053</v>
      </c>
      <c r="U55" s="12">
        <f t="shared" si="35"/>
        <v>-0.06397556859226197</v>
      </c>
      <c r="V55" s="12">
        <f t="shared" si="35"/>
        <v>-0.05293547936451647</v>
      </c>
      <c r="W55" s="12">
        <f t="shared" si="35"/>
        <v>-0.04180751534188445</v>
      </c>
      <c r="X55" s="12">
        <f t="shared" si="35"/>
        <v>-0.030580023533980736</v>
      </c>
      <c r="Y55" s="12">
        <f t="shared" si="35"/>
        <v>-0.01924131800362682</v>
      </c>
      <c r="Z55" s="12">
        <f t="shared" si="35"/>
        <v>-0.007779631064796319</v>
      </c>
      <c r="AA55" s="12">
        <f t="shared" si="35"/>
        <v>0.003816934911124275</v>
      </c>
      <c r="AB55" s="12">
        <f t="shared" si="35"/>
        <v>0.01556045569113652</v>
      </c>
      <c r="AC55" s="12">
        <f t="shared" si="35"/>
        <v>0.027463233797781015</v>
      </c>
      <c r="AD55" s="12">
        <f t="shared" si="35"/>
        <v>0.03953784798678426</v>
      </c>
      <c r="AE55" s="12">
        <f t="shared" si="35"/>
        <v>0.05179720410041387</v>
      </c>
      <c r="AF55" s="12">
        <f t="shared" si="35"/>
        <v>0.06425458774100516</v>
      </c>
      <c r="AG55" s="12">
        <f t="shared" si="35"/>
        <v>0.07692371930634814</v>
      </c>
      <c r="AH55" s="12">
        <f t="shared" si="35"/>
        <v>0.08981881187328357</v>
      </c>
      <c r="AI55" s="12">
        <f t="shared" si="35"/>
        <v>0.1029546325435741</v>
      </c>
      <c r="AJ55" s="12">
        <f t="shared" si="35"/>
        <v>0.11634656784495769</v>
      </c>
      <c r="AK55" s="12">
        <f t="shared" si="35"/>
        <v>0.13001069387393455</v>
      </c>
      <c r="AL55" s="12">
        <f t="shared" si="35"/>
        <v>0.14396385194572836</v>
      </c>
      <c r="AM55" s="12">
        <f t="shared" si="35"/>
        <v>0.15822373059357853</v>
      </c>
      <c r="AN55" s="12">
        <f t="shared" si="35"/>
        <v>0.17280895482093875</v>
      </c>
      <c r="AO55" s="12">
        <f t="shared" si="35"/>
        <v>0.1877391837650504</v>
      </c>
      <c r="AP55" s="12">
        <f t="shared" si="35"/>
        <v>0.2030352178845669</v>
      </c>
      <c r="AQ55" s="12">
        <f t="shared" si="35"/>
        <v>0.2187191171758497</v>
      </c>
      <c r="AR55" s="12">
        <f t="shared" si="35"/>
        <v>0.23481433194013365</v>
      </c>
      <c r="AS55" s="12">
        <f t="shared" si="35"/>
        <v>0.2513458479809817</v>
      </c>
      <c r="AT55" s="12">
        <f t="shared" si="35"/>
        <v>0.26834034840724813</v>
      </c>
      <c r="AU55" s="12">
        <f t="shared" si="35"/>
        <v>0.28582639451517944</v>
      </c>
      <c r="AV55" s="12">
        <f t="shared" si="35"/>
        <v>0.30383462868380134</v>
      </c>
      <c r="AW55" s="12">
        <f t="shared" si="35"/>
        <v>0.32239800274163594</v>
      </c>
      <c r="AX55" s="12">
        <f t="shared" si="35"/>
        <v>0.3415520358322605</v>
      </c>
      <c r="AY55" s="12">
        <f t="shared" si="35"/>
        <v>0.36133510661137486</v>
      </c>
      <c r="AZ55" s="12">
        <f t="shared" si="35"/>
        <v>0.3817887854681047</v>
      </c>
      <c r="BA55" s="12">
        <f t="shared" si="35"/>
        <v>0.40295821358441053</v>
      </c>
      <c r="BB55" s="12">
        <f t="shared" si="35"/>
        <v>0.42489253705039326</v>
      </c>
      <c r="BC55" s="12">
        <f t="shared" si="35"/>
        <v>0.447645405859688</v>
      </c>
      <c r="BD55" s="12">
        <f t="shared" si="35"/>
        <v>0.47127554977025665</v>
      </c>
      <c r="BE55" s="12">
        <f t="shared" si="35"/>
        <v>0.4958474455622173</v>
      </c>
      <c r="BF55" s="12">
        <f t="shared" si="35"/>
        <v>0.5214320935530439</v>
      </c>
    </row>
    <row r="56" spans="5:58" s="12" customFormat="1" ht="12.75">
      <c r="E56" s="12" t="s">
        <v>17</v>
      </c>
      <c r="F56" s="12">
        <f>(F38-F40)*$F$5*$F$64*1000</f>
        <v>0.03762788332069106</v>
      </c>
      <c r="G56" s="12">
        <f aca="true" t="shared" si="36" ref="G56:BF56">(G38-G40)*$F$5*$F$64*1000</f>
        <v>0.05577969003999848</v>
      </c>
      <c r="H56" s="12">
        <f t="shared" si="36"/>
        <v>0.0731646547434732</v>
      </c>
      <c r="I56" s="12">
        <f t="shared" si="36"/>
        <v>0.08982058173932331</v>
      </c>
      <c r="J56" s="12">
        <f t="shared" si="36"/>
        <v>0.105782013324013</v>
      </c>
      <c r="K56" s="12">
        <f t="shared" si="36"/>
        <v>0.12108057183383678</v>
      </c>
      <c r="L56" s="12">
        <f t="shared" si="36"/>
        <v>0.13574525644374053</v>
      </c>
      <c r="M56" s="12">
        <f t="shared" si="36"/>
        <v>0.14980270162687226</v>
      </c>
      <c r="N56" s="12">
        <f t="shared" si="36"/>
        <v>0.16327740288967924</v>
      </c>
      <c r="O56" s="12">
        <f t="shared" si="36"/>
        <v>0.17619191445679167</v>
      </c>
      <c r="P56" s="12">
        <f t="shared" si="36"/>
        <v>0.1885670228693997</v>
      </c>
      <c r="Q56" s="12">
        <f t="shared" si="36"/>
        <v>0.20042189980542097</v>
      </c>
      <c r="R56" s="12">
        <f t="shared" si="36"/>
        <v>0.21177423679474738</v>
      </c>
      <c r="S56" s="12">
        <f t="shared" si="36"/>
        <v>0.22264036429972636</v>
      </c>
      <c r="T56" s="12">
        <f t="shared" si="36"/>
        <v>0.23303535702032824</v>
      </c>
      <c r="U56" s="12">
        <f t="shared" si="36"/>
        <v>0.24297312719490777</v>
      </c>
      <c r="V56" s="12">
        <f t="shared" si="36"/>
        <v>0.25246650726695047</v>
      </c>
      <c r="W56" s="12">
        <f t="shared" si="36"/>
        <v>0.2615273231705686</v>
      </c>
      <c r="X56" s="12">
        <f t="shared" si="36"/>
        <v>0.27016645928937055</v>
      </c>
      <c r="Y56" s="12">
        <f t="shared" si="36"/>
        <v>0.27839391591772983</v>
      </c>
      <c r="Z56" s="12">
        <f t="shared" si="36"/>
        <v>0.2862188600977554</v>
      </c>
      <c r="AA56" s="12">
        <f t="shared" si="36"/>
        <v>0.29364967035726586</v>
      </c>
      <c r="AB56" s="12">
        <f t="shared" si="36"/>
        <v>0.30069397597878683</v>
      </c>
      <c r="AC56" s="12">
        <f t="shared" si="36"/>
        <v>0.3073586912848328</v>
      </c>
      <c r="AD56" s="12">
        <f t="shared" si="36"/>
        <v>0.3136500452698923</v>
      </c>
      <c r="AE56" s="12">
        <f t="shared" si="36"/>
        <v>0.3195736069478384</v>
      </c>
      <c r="AF56" s="12">
        <f t="shared" si="36"/>
        <v>0.3251343066987371</v>
      </c>
      <c r="AG56" s="12">
        <f t="shared" si="36"/>
        <v>0.33033645381211396</v>
      </c>
      <c r="AH56" s="12">
        <f t="shared" si="36"/>
        <v>0.3351837503880311</v>
      </c>
      <c r="AI56" s="12">
        <f t="shared" si="36"/>
        <v>0.33967930173075017</v>
      </c>
      <c r="AJ56" s="12">
        <f t="shared" si="36"/>
        <v>0.3438256233101765</v>
      </c>
      <c r="AK56" s="12">
        <f t="shared" si="36"/>
        <v>0.3476246443102924</v>
      </c>
      <c r="AL56" s="12">
        <f t="shared" si="36"/>
        <v>0.3510777077392966</v>
      </c>
      <c r="AM56" s="12">
        <f t="shared" si="36"/>
        <v>0.35418556710253385</v>
      </c>
      <c r="AN56" s="12">
        <f t="shared" si="36"/>
        <v>0.35694837943063373</v>
      </c>
      <c r="AO56" s="12">
        <f t="shared" si="36"/>
        <v>0.3593656946017652</v>
      </c>
      <c r="AP56" s="12">
        <f t="shared" si="36"/>
        <v>0.36143644066632935</v>
      </c>
      <c r="AQ56" s="12">
        <f t="shared" si="36"/>
        <v>0.3631589049637944</v>
      </c>
      <c r="AR56" s="12">
        <f t="shared" si="36"/>
        <v>0.3645307106327846</v>
      </c>
      <c r="AS56" s="12">
        <f t="shared" si="36"/>
        <v>0.3655487881096764</v>
      </c>
      <c r="AT56" s="12">
        <f t="shared" si="36"/>
        <v>0.36620934110916925</v>
      </c>
      <c r="AU56" s="12">
        <f t="shared" si="36"/>
        <v>0.3665078064461794</v>
      </c>
      <c r="AV56" s="12">
        <f t="shared" si="36"/>
        <v>0.3664388069566224</v>
      </c>
      <c r="AW56" s="12">
        <f t="shared" si="36"/>
        <v>0.3659960966262032</v>
      </c>
      <c r="AX56" s="12">
        <f t="shared" si="36"/>
        <v>0.36517249683819536</v>
      </c>
      <c r="AY56" s="12">
        <f t="shared" si="36"/>
        <v>0.36395982245629915</v>
      </c>
      <c r="AZ56" s="12">
        <f t="shared" si="36"/>
        <v>0.36234879621625815</v>
      </c>
      <c r="BA56" s="12">
        <f t="shared" si="36"/>
        <v>0.3603289495155633</v>
      </c>
      <c r="BB56" s="12">
        <f t="shared" si="36"/>
        <v>0.35788850742385453</v>
      </c>
      <c r="BC56" s="12">
        <f t="shared" si="36"/>
        <v>0.35501425511333734</v>
      </c>
      <c r="BD56" s="12">
        <f t="shared" si="36"/>
        <v>0.35169138248403864</v>
      </c>
      <c r="BE56" s="12">
        <f t="shared" si="36"/>
        <v>0.34790330287044796</v>
      </c>
      <c r="BF56" s="12">
        <f t="shared" si="36"/>
        <v>0.34363144094631093</v>
      </c>
    </row>
    <row r="57" spans="5:58" s="12" customFormat="1" ht="12.75">
      <c r="E57" s="12" t="s">
        <v>23</v>
      </c>
      <c r="F57" s="12">
        <f>(F39-F40)*$F$5*$F$64*1000</f>
        <v>0.26513914324280613</v>
      </c>
      <c r="G57" s="12">
        <f aca="true" t="shared" si="37" ref="G57:BF57">(G39-G40)*$F$5*$F$64*1000</f>
        <v>0.2720140629154933</v>
      </c>
      <c r="H57" s="12">
        <f t="shared" si="37"/>
        <v>0.2782472866215545</v>
      </c>
      <c r="I57" s="12">
        <f t="shared" si="37"/>
        <v>0.28385716694966756</v>
      </c>
      <c r="J57" s="12">
        <f t="shared" si="37"/>
        <v>0.28886007112282563</v>
      </c>
      <c r="K57" s="12">
        <f t="shared" si="37"/>
        <v>0.2932705566349935</v>
      </c>
      <c r="L57" s="12">
        <f t="shared" si="37"/>
        <v>0.2971015222369977</v>
      </c>
      <c r="M57" s="12">
        <f t="shared" si="37"/>
        <v>0.30036433783950656</v>
      </c>
      <c r="N57" s="12">
        <f t="shared" si="37"/>
        <v>0.3030689562360001</v>
      </c>
      <c r="O57" s="12">
        <f t="shared" si="37"/>
        <v>0.3052240090716113</v>
      </c>
      <c r="P57" s="12">
        <f t="shared" si="37"/>
        <v>0.3068368890609604</v>
      </c>
      <c r="Q57" s="12">
        <f t="shared" si="37"/>
        <v>0.3079138201256252</v>
      </c>
      <c r="R57" s="12">
        <f t="shared" si="37"/>
        <v>0.3084599168467039</v>
      </c>
      <c r="S57" s="12">
        <f t="shared" si="37"/>
        <v>0.30847923440092356</v>
      </c>
      <c r="T57" s="12">
        <f t="shared" si="37"/>
        <v>0.3079748098596688</v>
      </c>
      <c r="U57" s="12">
        <f t="shared" si="37"/>
        <v>0.30694869578716977</v>
      </c>
      <c r="V57" s="12">
        <f t="shared" si="37"/>
        <v>0.3054019866314669</v>
      </c>
      <c r="W57" s="12">
        <f t="shared" si="37"/>
        <v>0.303334838512453</v>
      </c>
      <c r="X57" s="12">
        <f t="shared" si="37"/>
        <v>0.30074648282335126</v>
      </c>
      <c r="Y57" s="12">
        <f t="shared" si="37"/>
        <v>0.29763523392135666</v>
      </c>
      <c r="Z57" s="12">
        <f t="shared" si="37"/>
        <v>0.29399849116255167</v>
      </c>
      <c r="AA57" s="12">
        <f t="shared" si="37"/>
        <v>0.2898327354461416</v>
      </c>
      <c r="AB57" s="12">
        <f t="shared" si="37"/>
        <v>0.2851335202876503</v>
      </c>
      <c r="AC57" s="12">
        <f t="shared" si="37"/>
        <v>0.27989545748705175</v>
      </c>
      <c r="AD57" s="12">
        <f t="shared" si="37"/>
        <v>0.2741121972831081</v>
      </c>
      <c r="AE57" s="12">
        <f t="shared" si="37"/>
        <v>0.2677764028474245</v>
      </c>
      <c r="AF57" s="12">
        <f t="shared" si="37"/>
        <v>0.260879718957732</v>
      </c>
      <c r="AG57" s="12">
        <f t="shared" si="37"/>
        <v>0.2534127345057658</v>
      </c>
      <c r="AH57" s="12">
        <f t="shared" si="37"/>
        <v>0.2453649385147475</v>
      </c>
      <c r="AI57" s="12">
        <f t="shared" si="37"/>
        <v>0.23672466918717605</v>
      </c>
      <c r="AJ57" s="12">
        <f t="shared" si="37"/>
        <v>0.2274790554652188</v>
      </c>
      <c r="AK57" s="12">
        <f t="shared" si="37"/>
        <v>0.21761395043635784</v>
      </c>
      <c r="AL57" s="12">
        <f t="shared" si="37"/>
        <v>0.2071138557935682</v>
      </c>
      <c r="AM57" s="12">
        <f t="shared" si="37"/>
        <v>0.19596183650895532</v>
      </c>
      <c r="AN57" s="12">
        <f t="shared" si="37"/>
        <v>0.18413942460969496</v>
      </c>
      <c r="AO57" s="12">
        <f t="shared" si="37"/>
        <v>0.17162651083671485</v>
      </c>
      <c r="AP57" s="12">
        <f t="shared" si="37"/>
        <v>0.1584012227817625</v>
      </c>
      <c r="AQ57" s="12">
        <f t="shared" si="37"/>
        <v>0.1444397877879447</v>
      </c>
      <c r="AR57" s="12">
        <f t="shared" si="37"/>
        <v>0.1297163786926509</v>
      </c>
      <c r="AS57" s="12">
        <f t="shared" si="37"/>
        <v>0.11420294012869474</v>
      </c>
      <c r="AT57" s="12">
        <f t="shared" si="37"/>
        <v>0.09786899270192113</v>
      </c>
      <c r="AU57" s="12">
        <f t="shared" si="37"/>
        <v>0.080681411931</v>
      </c>
      <c r="AV57" s="12">
        <f t="shared" si="37"/>
        <v>0.06260417827282103</v>
      </c>
      <c r="AW57" s="12">
        <f t="shared" si="37"/>
        <v>0.043598093884567264</v>
      </c>
      <c r="AX57" s="12">
        <f t="shared" si="37"/>
        <v>0.023620461005934814</v>
      </c>
      <c r="AY57" s="12">
        <f t="shared" si="37"/>
        <v>0.0026247158449242613</v>
      </c>
      <c r="AZ57" s="12">
        <f t="shared" si="37"/>
        <v>-0.019439989251846514</v>
      </c>
      <c r="BA57" s="12">
        <f t="shared" si="37"/>
        <v>-0.042629264068847206</v>
      </c>
      <c r="BB57" s="12">
        <f t="shared" si="37"/>
        <v>-0.06700402962653876</v>
      </c>
      <c r="BC57" s="12">
        <f t="shared" si="37"/>
        <v>-0.09263115074635067</v>
      </c>
      <c r="BD57" s="12">
        <f t="shared" si="37"/>
        <v>-0.11958416728621811</v>
      </c>
      <c r="BE57" s="12">
        <f t="shared" si="37"/>
        <v>-0.1479441426917693</v>
      </c>
      <c r="BF57" s="12">
        <f t="shared" si="37"/>
        <v>-0.1778006526067329</v>
      </c>
    </row>
    <row r="58" spans="5:58" s="12" customFormat="1" ht="12.75">
      <c r="E58" s="12" t="s">
        <v>20</v>
      </c>
      <c r="F58" s="12">
        <f>F55^2</f>
        <v>0.0517613733913482</v>
      </c>
      <c r="G58" s="12">
        <f aca="true" t="shared" si="38" ref="G58:BF60">G55^2</f>
        <v>0.04675730401285853</v>
      </c>
      <c r="H58" s="12">
        <f t="shared" si="38"/>
        <v>0.04205888589804062</v>
      </c>
      <c r="I58" s="12">
        <f t="shared" si="38"/>
        <v>0.037650196400091186</v>
      </c>
      <c r="J58" s="12">
        <f t="shared" si="38"/>
        <v>0.03351757524738537</v>
      </c>
      <c r="K58" s="12">
        <f t="shared" si="38"/>
        <v>0.02964939086582259</v>
      </c>
      <c r="L58" s="12">
        <f t="shared" si="38"/>
        <v>0.026035844510744265</v>
      </c>
      <c r="M58" s="12">
        <f t="shared" si="38"/>
        <v>0.02266880629902564</v>
      </c>
      <c r="N58" s="12">
        <f t="shared" si="38"/>
        <v>0.019541678386977273</v>
      </c>
      <c r="O58" s="12">
        <f t="shared" si="38"/>
        <v>0.016649281440687762</v>
      </c>
      <c r="P58" s="12">
        <f t="shared" si="38"/>
        <v>0.013987761248969673</v>
      </c>
      <c r="Q58" s="12">
        <f t="shared" si="38"/>
        <v>0.011554512934125126</v>
      </c>
      <c r="R58" s="12">
        <f t="shared" si="38"/>
        <v>0.0093481207271093</v>
      </c>
      <c r="S58" s="12">
        <f t="shared" si="38"/>
        <v>0.007368311620250204</v>
      </c>
      <c r="T58" s="12">
        <f t="shared" si="38"/>
        <v>0.005615921591859744</v>
      </c>
      <c r="U58" s="12">
        <f t="shared" si="38"/>
        <v>0.004092873376703217</v>
      </c>
      <c r="V58" s="12">
        <f t="shared" si="38"/>
        <v>0.002802164975551149</v>
      </c>
      <c r="W58" s="12">
        <f t="shared" si="38"/>
        <v>0.0017478683390619034</v>
      </c>
      <c r="X58" s="12">
        <f t="shared" si="38"/>
        <v>0.0009351378393388156</v>
      </c>
      <c r="Y58" s="12">
        <f t="shared" si="38"/>
        <v>0.00037022831851669366</v>
      </c>
      <c r="Z58" s="12">
        <f t="shared" si="38"/>
        <v>6.0522659504343905E-05</v>
      </c>
      <c r="AA58" s="12">
        <f t="shared" si="38"/>
        <v>1.4568992115759279E-05</v>
      </c>
      <c r="AB58" s="12">
        <f t="shared" si="38"/>
        <v>0.00024212778131582293</v>
      </c>
      <c r="AC58" s="12">
        <f t="shared" si="38"/>
        <v>0.0007542292106315814</v>
      </c>
      <c r="AD58" s="12">
        <f t="shared" si="38"/>
        <v>0.0015632414234260602</v>
      </c>
      <c r="AE58" s="12">
        <f t="shared" si="38"/>
        <v>0.0026829503526199314</v>
      </c>
      <c r="AF58" s="12">
        <f t="shared" si="38"/>
        <v>0.004128652045766531</v>
      </c>
      <c r="AG58" s="12">
        <f t="shared" si="38"/>
        <v>0.005917258591921838</v>
      </c>
      <c r="AH58" s="12">
        <f t="shared" si="38"/>
        <v>0.008067418966328305</v>
      </c>
      <c r="AI58" s="12">
        <f t="shared" si="38"/>
        <v>0.010599656362182368</v>
      </c>
      <c r="AJ58" s="12">
        <f t="shared" si="38"/>
        <v>0.013536523849301341</v>
      </c>
      <c r="AK58" s="12">
        <f t="shared" si="38"/>
        <v>0.016902780521581923</v>
      </c>
      <c r="AL58" s="12">
        <f t="shared" si="38"/>
        <v>0.020725590667051597</v>
      </c>
      <c r="AM58" s="12">
        <f t="shared" si="38"/>
        <v>0.025034748922949317</v>
      </c>
      <c r="AN58" s="12">
        <f t="shared" si="38"/>
        <v>0.02986293486630525</v>
      </c>
      <c r="AO58" s="12">
        <f t="shared" si="38"/>
        <v>0.03524600112076736</v>
      </c>
      <c r="AP58" s="12">
        <f t="shared" si="38"/>
        <v>0.04122329970143356</v>
      </c>
      <c r="AQ58" s="12">
        <f t="shared" si="38"/>
        <v>0.04783805221818307</v>
      </c>
      <c r="AR58" s="12">
        <f t="shared" si="38"/>
        <v>0.05513777048449127</v>
      </c>
      <c r="AS58" s="12">
        <f t="shared" si="38"/>
        <v>0.06317473529727877</v>
      </c>
      <c r="AT58" s="12">
        <f t="shared" si="38"/>
        <v>0.07200654258332331</v>
      </c>
      <c r="AU58" s="12">
        <f t="shared" si="38"/>
        <v>0.08169672780154699</v>
      </c>
      <c r="AV58" s="12">
        <f t="shared" si="38"/>
        <v>0.09231548158742343</v>
      </c>
      <c r="AW58" s="12">
        <f t="shared" si="38"/>
        <v>0.10394047217179589</v>
      </c>
      <c r="AX58" s="12">
        <f t="shared" si="38"/>
        <v>0.11665779318116178</v>
      </c>
      <c r="AY58" s="12">
        <f t="shared" si="38"/>
        <v>0.13056305926985362</v>
      </c>
      <c r="AZ58" s="12">
        <f t="shared" si="38"/>
        <v>0.14576267670921048</v>
      </c>
      <c r="BA58" s="12">
        <f t="shared" si="38"/>
        <v>0.16237532189513942</v>
      </c>
      <c r="BB58" s="12">
        <f t="shared" si="38"/>
        <v>0.1805336680411198</v>
      </c>
      <c r="BC58" s="12">
        <f t="shared" si="38"/>
        <v>0.20038640938728478</v>
      </c>
      <c r="BD58" s="12">
        <f t="shared" si="38"/>
        <v>0.22210064381125766</v>
      </c>
      <c r="BE58" s="12">
        <f t="shared" si="38"/>
        <v>0.2458646892705761</v>
      </c>
      <c r="BF58" s="12">
        <f t="shared" si="38"/>
        <v>0.2718914281871103</v>
      </c>
    </row>
    <row r="59" spans="5:58" s="12" customFormat="1" ht="12.75">
      <c r="E59" s="12" t="s">
        <v>21</v>
      </c>
      <c r="F59" s="12">
        <f>F56^2</f>
        <v>0.0014158576031955404</v>
      </c>
      <c r="G59" s="12">
        <f t="shared" si="38"/>
        <v>0.0031113738209583054</v>
      </c>
      <c r="H59" s="12">
        <f t="shared" si="38"/>
        <v>0.005353066703731635</v>
      </c>
      <c r="I59" s="12">
        <f t="shared" si="38"/>
        <v>0.00806773690399046</v>
      </c>
      <c r="J59" s="12">
        <f t="shared" si="38"/>
        <v>0.011189834342881665</v>
      </c>
      <c r="K59" s="12">
        <f t="shared" si="38"/>
        <v>0.014660504875608908</v>
      </c>
      <c r="L59" s="12">
        <f t="shared" si="38"/>
        <v>0.018426774646976878</v>
      </c>
      <c r="M59" s="12">
        <f t="shared" si="38"/>
        <v>0.022440849414709717</v>
      </c>
      <c r="N59" s="12">
        <f t="shared" si="38"/>
        <v>0.02665951029439863</v>
      </c>
      <c r="O59" s="12">
        <f t="shared" si="38"/>
        <v>0.03104359071994939</v>
      </c>
      <c r="P59" s="12">
        <f t="shared" si="38"/>
        <v>0.035557522113828705</v>
      </c>
      <c r="Q59" s="12">
        <f t="shared" si="38"/>
        <v>0.0401689379216142</v>
      </c>
      <c r="R59" s="12">
        <f t="shared" si="38"/>
        <v>0.044848327369997734</v>
      </c>
      <c r="S59" s="12">
        <f t="shared" si="38"/>
        <v>0.04956873181551487</v>
      </c>
      <c r="T59" s="12">
        <f t="shared" si="38"/>
        <v>0.054305477621591845</v>
      </c>
      <c r="U59" s="12">
        <f t="shared" si="38"/>
        <v>0.05903594053887283</v>
      </c>
      <c r="V59" s="12">
        <f t="shared" si="38"/>
        <v>0.06373933729157315</v>
      </c>
      <c r="W59" s="12">
        <f t="shared" si="38"/>
        <v>0.06839654076476302</v>
      </c>
      <c r="X59" s="12">
        <f t="shared" si="38"/>
        <v>0.07298991572495511</v>
      </c>
      <c r="Y59" s="12">
        <f t="shared" si="38"/>
        <v>0.07750317242000802</v>
      </c>
      <c r="Z59" s="12">
        <f t="shared" si="38"/>
        <v>0.08192123587565847</v>
      </c>
      <c r="AA59" s="12">
        <f t="shared" si="38"/>
        <v>0.0862301289009309</v>
      </c>
      <c r="AB59" s="12">
        <f t="shared" si="38"/>
        <v>0.09041686718993124</v>
      </c>
      <c r="AC59" s="12">
        <f t="shared" si="38"/>
        <v>0.09446936510832514</v>
      </c>
      <c r="AD59" s="12">
        <f t="shared" si="38"/>
        <v>0.0983763508978055</v>
      </c>
      <c r="AE59" s="12">
        <f t="shared" si="38"/>
        <v>0.10212729025765149</v>
      </c>
      <c r="AF59" s="12">
        <f t="shared" si="38"/>
        <v>0.10571231739246845</v>
      </c>
      <c r="AG59" s="12">
        <f t="shared" si="38"/>
        <v>0.1091221727171629</v>
      </c>
      <c r="AH59" s="12">
        <f t="shared" si="38"/>
        <v>0.11234814652418594</v>
      </c>
      <c r="AI59" s="12">
        <f t="shared" si="38"/>
        <v>0.11538202802429001</v>
      </c>
      <c r="AJ59" s="12">
        <f t="shared" si="38"/>
        <v>0.1182160592446314</v>
      </c>
      <c r="AK59" s="12">
        <f t="shared" si="38"/>
        <v>0.1208428933318573</v>
      </c>
      <c r="AL59" s="12">
        <f t="shared" si="38"/>
        <v>0.12325555687147895</v>
      </c>
      <c r="AM59" s="12">
        <f t="shared" si="38"/>
        <v>0.1254474159437435</v>
      </c>
      <c r="AN59" s="12">
        <f t="shared" si="38"/>
        <v>0.12741214557815567</v>
      </c>
      <c r="AO59" s="12">
        <f t="shared" si="38"/>
        <v>0.12914370245660917</v>
      </c>
      <c r="AP59" s="12">
        <f t="shared" si="38"/>
        <v>0.13063630064154502</v>
      </c>
      <c r="AQ59" s="12">
        <f t="shared" si="38"/>
        <v>0.13188439025450224</v>
      </c>
      <c r="AR59" s="12">
        <f t="shared" si="38"/>
        <v>0.13288263899444291</v>
      </c>
      <c r="AS59" s="12">
        <f t="shared" si="38"/>
        <v>0.1336259164884531</v>
      </c>
      <c r="AT59" s="12">
        <f t="shared" si="38"/>
        <v>0.13410928151561188</v>
      </c>
      <c r="AU59" s="12">
        <f t="shared" si="38"/>
        <v>0.1343279721859901</v>
      </c>
      <c r="AV59" s="12">
        <f t="shared" si="38"/>
        <v>0.13427739924379278</v>
      </c>
      <c r="AW59" s="12">
        <f t="shared" si="38"/>
        <v>0.13395314274561707</v>
      </c>
      <c r="AX59" s="12">
        <f t="shared" si="38"/>
        <v>0.1333509524470418</v>
      </c>
      <c r="AY59" s="12">
        <f t="shared" si="38"/>
        <v>0.1324667523624208</v>
      </c>
      <c r="AZ59" s="12">
        <f t="shared" si="38"/>
        <v>0.1312966501193714</v>
      </c>
      <c r="BA59" s="12">
        <f t="shared" si="38"/>
        <v>0.12983695185898939</v>
      </c>
      <c r="BB59" s="12">
        <f t="shared" si="38"/>
        <v>0.1280841837460744</v>
      </c>
      <c r="BC59" s="12">
        <f t="shared" si="38"/>
        <v>0.12603512133367778</v>
      </c>
      <c r="BD59" s="12">
        <f t="shared" si="38"/>
        <v>0.12368682851353437</v>
      </c>
      <c r="BE59" s="12">
        <f t="shared" si="38"/>
        <v>0.12103670814816664</v>
      </c>
      <c r="BF59" s="12">
        <f t="shared" si="38"/>
        <v>0.11808256720683798</v>
      </c>
    </row>
    <row r="60" spans="5:58" s="12" customFormat="1" ht="12.75">
      <c r="E60" s="12" t="s">
        <v>25</v>
      </c>
      <c r="F60" s="12">
        <f>F57^2</f>
        <v>0.07029876527952927</v>
      </c>
      <c r="G60" s="12">
        <f t="shared" si="38"/>
        <v>0.07399165042379395</v>
      </c>
      <c r="H60" s="12">
        <f t="shared" si="38"/>
        <v>0.0774215525122575</v>
      </c>
      <c r="I60" s="12">
        <f t="shared" si="38"/>
        <v>0.08057489122869144</v>
      </c>
      <c r="J60" s="12">
        <f t="shared" si="38"/>
        <v>0.08344014068908388</v>
      </c>
      <c r="K60" s="12">
        <f t="shared" si="38"/>
        <v>0.08600761938899894</v>
      </c>
      <c r="L60" s="12">
        <f t="shared" si="38"/>
        <v>0.08826931451554124</v>
      </c>
      <c r="M60" s="12">
        <f t="shared" si="38"/>
        <v>0.09021873544576522</v>
      </c>
      <c r="N60" s="12">
        <f t="shared" si="38"/>
        <v>0.09185079223397855</v>
      </c>
      <c r="O60" s="12">
        <f t="shared" si="38"/>
        <v>0.09316169571374705</v>
      </c>
      <c r="P60" s="12">
        <f t="shared" si="38"/>
        <v>0.09414887648860812</v>
      </c>
      <c r="Q60" s="12">
        <f t="shared" si="38"/>
        <v>0.09481092062435587</v>
      </c>
      <c r="R60" s="12">
        <f t="shared" si="38"/>
        <v>0.09514752030107547</v>
      </c>
      <c r="S60" s="12">
        <f t="shared" si="38"/>
        <v>0.09515943805657995</v>
      </c>
      <c r="T60" s="12">
        <f t="shared" si="38"/>
        <v>0.09484848350809914</v>
      </c>
      <c r="U60" s="12">
        <f t="shared" si="38"/>
        <v>0.09421750184544449</v>
      </c>
      <c r="V60" s="12">
        <f t="shared" si="38"/>
        <v>0.09327037343844669</v>
      </c>
      <c r="W60" s="12">
        <f t="shared" si="38"/>
        <v>0.09201202425537595</v>
      </c>
      <c r="X60" s="12">
        <f t="shared" si="38"/>
        <v>0.09044844693061631</v>
      </c>
      <c r="Y60" s="12">
        <f t="shared" si="38"/>
        <v>0.0885867324714207</v>
      </c>
      <c r="Z60" s="12">
        <f t="shared" si="38"/>
        <v>0.08643511280585697</v>
      </c>
      <c r="AA60" s="12">
        <f t="shared" si="38"/>
        <v>0.08400301453619309</v>
      </c>
      <c r="AB60" s="12">
        <f t="shared" si="38"/>
        <v>0.0813011243916279</v>
      </c>
      <c r="AC60" s="12">
        <f t="shared" si="38"/>
        <v>0.07834146712188599</v>
      </c>
      <c r="AD60" s="12">
        <f t="shared" si="38"/>
        <v>0.07513749669937357</v>
      </c>
      <c r="AE60" s="12">
        <f t="shared" si="38"/>
        <v>0.07170420192190617</v>
      </c>
      <c r="AF60" s="12">
        <f t="shared" si="38"/>
        <v>0.06805822776346522</v>
      </c>
      <c r="AG60" s="12">
        <f t="shared" si="38"/>
        <v>0.06421801400968974</v>
      </c>
      <c r="AH60" s="12">
        <f t="shared" si="38"/>
        <v>0.06020395305234582</v>
      </c>
      <c r="AI60" s="12">
        <f t="shared" si="38"/>
        <v>0.056038569001777935</v>
      </c>
      <c r="AJ60" s="12">
        <f t="shared" si="38"/>
        <v>0.051746720675348086</v>
      </c>
      <c r="AK60" s="12">
        <f t="shared" si="38"/>
        <v>0.04735583142451761</v>
      </c>
      <c r="AL60" s="12">
        <f t="shared" si="38"/>
        <v>0.042896149261678965</v>
      </c>
      <c r="AM60" s="12">
        <f t="shared" si="38"/>
        <v>0.03840104136796253</v>
      </c>
      <c r="AN60" s="12">
        <f t="shared" si="38"/>
        <v>0.03390732769558953</v>
      </c>
      <c r="AO60" s="12">
        <f t="shared" si="38"/>
        <v>0.029455659221985</v>
      </c>
      <c r="AP60" s="12">
        <f t="shared" si="38"/>
        <v>0.025090947378757555</v>
      </c>
      <c r="AQ60" s="12">
        <f t="shared" si="38"/>
        <v>0.0208628522962265</v>
      </c>
      <c r="AR60" s="12">
        <f t="shared" si="38"/>
        <v>0.016826338901135218</v>
      </c>
      <c r="AS60" s="12">
        <f t="shared" si="38"/>
        <v>0.013042311534038235</v>
      </c>
      <c r="AT60" s="12">
        <f t="shared" si="38"/>
        <v>0.009578339732488693</v>
      </c>
      <c r="AU60" s="12">
        <f t="shared" si="38"/>
        <v>0.006509490231179708</v>
      </c>
      <c r="AV60" s="12">
        <f t="shared" si="38"/>
        <v>0.003919283137215156</v>
      </c>
      <c r="AW60" s="12">
        <f t="shared" si="38"/>
        <v>0.0019007937903675414</v>
      </c>
      <c r="AX60" s="12">
        <f t="shared" si="38"/>
        <v>0.0005579261781328871</v>
      </c>
      <c r="AY60" s="12">
        <f t="shared" si="38"/>
        <v>6.889133266596479E-06</v>
      </c>
      <c r="AZ60" s="12">
        <f t="shared" si="38"/>
        <v>0.000377913182111908</v>
      </c>
      <c r="BA60" s="12">
        <f t="shared" si="38"/>
        <v>0.0018172541550515074</v>
      </c>
      <c r="BB60" s="12">
        <f t="shared" si="38"/>
        <v>0.004489539986194084</v>
      </c>
      <c r="BC60" s="12">
        <f t="shared" si="38"/>
        <v>0.008580530088593143</v>
      </c>
      <c r="BD60" s="12">
        <f t="shared" si="38"/>
        <v>0.014300373065538198</v>
      </c>
      <c r="BE60" s="12">
        <f t="shared" si="38"/>
        <v>0.021887469356802598</v>
      </c>
      <c r="BF60" s="12">
        <f t="shared" si="38"/>
        <v>0.031613072067380114</v>
      </c>
    </row>
    <row r="61" spans="5:6" ht="12.75">
      <c r="E61" t="s">
        <v>18</v>
      </c>
      <c r="F61" s="19">
        <f>SUM(F58:BF58)</f>
        <v>2.792921215356427</v>
      </c>
    </row>
    <row r="62" spans="5:6" ht="13.5" thickBot="1">
      <c r="E62" t="s">
        <v>19</v>
      </c>
      <c r="F62" s="19">
        <f>SUM(F59:BF59)</f>
        <v>4.658480437030078</v>
      </c>
    </row>
    <row r="63" spans="5:10" ht="12.75">
      <c r="E63" s="4"/>
      <c r="F63" s="5" t="s">
        <v>93</v>
      </c>
      <c r="G63" s="6" t="s">
        <v>94</v>
      </c>
      <c r="H63" s="6" t="s">
        <v>96</v>
      </c>
      <c r="I63" s="6" t="s">
        <v>95</v>
      </c>
      <c r="J63" s="5" t="s">
        <v>105</v>
      </c>
    </row>
    <row r="64" spans="5:10" ht="12.75">
      <c r="E64" s="7" t="s">
        <v>54</v>
      </c>
      <c r="F64" s="8">
        <f>'Eingabe u. Ergebnisse'!C17</f>
        <v>3.5</v>
      </c>
      <c r="G64" s="9">
        <f>$F$64*(TAN($F$5*$BF$6)-TAN($F$6*$F$5))</f>
        <v>1.4878959316901548</v>
      </c>
      <c r="H64" s="9">
        <v>1</v>
      </c>
      <c r="I64" s="9">
        <f>$BF$6-$F$6</f>
        <v>24</v>
      </c>
      <c r="J64" s="8"/>
    </row>
    <row r="65" spans="5:10" ht="13.5" thickBot="1">
      <c r="E65" s="7" t="s">
        <v>92</v>
      </c>
      <c r="F65" s="8"/>
      <c r="G65" s="9">
        <f>IF(M3=1,G64*H65,G64/H65)</f>
        <v>1.9838612422535395</v>
      </c>
      <c r="H65" s="11">
        <f>IF('Eingabe u. Ergebnisse'!C19=0,4/3,16/9)</f>
        <v>1.3333333333333333</v>
      </c>
      <c r="I65" s="11">
        <f>(ATAN((G65+H66)/F64)-ATAN(H66/F64))/$F$5</f>
        <v>31.646387518641948</v>
      </c>
      <c r="J65" s="10">
        <f>I65/I64</f>
        <v>1.3185994799434144</v>
      </c>
    </row>
    <row r="66" spans="5:8" ht="13.5" thickBot="1">
      <c r="E66" s="78" t="s">
        <v>97</v>
      </c>
      <c r="F66" s="79"/>
      <c r="G66" s="41">
        <f>F64*TAN($F$5*$F$6)</f>
        <v>-0.7439479658450774</v>
      </c>
      <c r="H66" s="9">
        <f>IF(M3=1,G66*H65,G66/H65)</f>
        <v>-0.9919306211267698</v>
      </c>
    </row>
    <row r="67" spans="5:7" ht="12.75">
      <c r="E67" s="15" t="s">
        <v>139</v>
      </c>
      <c r="F67" s="14"/>
      <c r="G67">
        <f>$F$64*(TAN($F$5*$BF$38)-TAN($F$5*$F$38))</f>
        <v>1.9948062143484435</v>
      </c>
    </row>
    <row r="69" spans="5:6" ht="29.25" customHeight="1">
      <c r="E69" s="16"/>
      <c r="F69" s="14"/>
    </row>
    <row r="70" spans="5:6" ht="41.25" customHeight="1">
      <c r="E70" s="16"/>
      <c r="F70" s="14"/>
    </row>
    <row r="71" spans="22:24" ht="12.75">
      <c r="V71" s="12"/>
      <c r="W71" s="12"/>
      <c r="X71" s="12"/>
    </row>
    <row r="73" spans="6:59" ht="12.75">
      <c r="F73">
        <f>F6^2</f>
        <v>144</v>
      </c>
      <c r="G73">
        <f aca="true" t="shared" si="39" ref="G73:BF73">G6^2</f>
        <v>133.1360946745562</v>
      </c>
      <c r="H73">
        <f t="shared" si="39"/>
        <v>122.698224852071</v>
      </c>
      <c r="I73">
        <f t="shared" si="39"/>
        <v>112.68639053254437</v>
      </c>
      <c r="J73">
        <f t="shared" si="39"/>
        <v>103.10059171597632</v>
      </c>
      <c r="K73">
        <f t="shared" si="39"/>
        <v>93.94082840236685</v>
      </c>
      <c r="L73">
        <f t="shared" si="39"/>
        <v>85.20710059171596</v>
      </c>
      <c r="M73">
        <f t="shared" si="39"/>
        <v>76.89940828402365</v>
      </c>
      <c r="N73">
        <f t="shared" si="39"/>
        <v>69.01775147928993</v>
      </c>
      <c r="O73">
        <f t="shared" si="39"/>
        <v>61.562130177514774</v>
      </c>
      <c r="P73">
        <f t="shared" si="39"/>
        <v>54.532544378698205</v>
      </c>
      <c r="Q73">
        <f t="shared" si="39"/>
        <v>47.92899408284021</v>
      </c>
      <c r="R73">
        <f t="shared" si="39"/>
        <v>41.75147928994081</v>
      </c>
      <c r="S73">
        <f t="shared" si="39"/>
        <v>35.99999999999998</v>
      </c>
      <c r="T73">
        <f t="shared" si="39"/>
        <v>30.67455621301773</v>
      </c>
      <c r="U73">
        <f t="shared" si="39"/>
        <v>25.775147928994063</v>
      </c>
      <c r="V73">
        <f t="shared" si="39"/>
        <v>21.301775147928975</v>
      </c>
      <c r="W73">
        <f t="shared" si="39"/>
        <v>17.254437869822468</v>
      </c>
      <c r="X73">
        <f t="shared" si="39"/>
        <v>13.633136094674539</v>
      </c>
      <c r="Y73">
        <f t="shared" si="39"/>
        <v>10.43786982248519</v>
      </c>
      <c r="Z73">
        <f t="shared" si="39"/>
        <v>7.668639053254423</v>
      </c>
      <c r="AA73">
        <f t="shared" si="39"/>
        <v>5.325443786982235</v>
      </c>
      <c r="AB73">
        <f t="shared" si="39"/>
        <v>3.408284023668628</v>
      </c>
      <c r="AC73">
        <f t="shared" si="39"/>
        <v>1.9171597633136008</v>
      </c>
      <c r="AD73">
        <f t="shared" si="39"/>
        <v>0.8520710059171539</v>
      </c>
      <c r="AE73">
        <f t="shared" si="39"/>
        <v>0.213017751479287</v>
      </c>
      <c r="AF73">
        <f t="shared" si="39"/>
        <v>1.0366125332669858E-29</v>
      </c>
      <c r="AG73">
        <f t="shared" si="39"/>
        <v>0.21301775147929294</v>
      </c>
      <c r="AH73">
        <f t="shared" si="39"/>
        <v>0.8520710059171658</v>
      </c>
      <c r="AI73">
        <f t="shared" si="39"/>
        <v>1.9171597633136186</v>
      </c>
      <c r="AJ73">
        <f t="shared" si="39"/>
        <v>3.408284023668651</v>
      </c>
      <c r="AK73">
        <f t="shared" si="39"/>
        <v>5.325443786982264</v>
      </c>
      <c r="AL73">
        <f t="shared" si="39"/>
        <v>7.6686390532544575</v>
      </c>
      <c r="AM73">
        <f t="shared" si="39"/>
        <v>10.437869822485231</v>
      </c>
      <c r="AN73">
        <f t="shared" si="39"/>
        <v>13.633136094674583</v>
      </c>
      <c r="AO73">
        <f t="shared" si="39"/>
        <v>17.254437869822517</v>
      </c>
      <c r="AP73">
        <f t="shared" si="39"/>
        <v>21.301775147929032</v>
      </c>
      <c r="AQ73">
        <f t="shared" si="39"/>
        <v>25.775147928994127</v>
      </c>
      <c r="AR73">
        <f t="shared" si="39"/>
        <v>30.674556213017798</v>
      </c>
      <c r="AS73">
        <f t="shared" si="39"/>
        <v>36.00000000000006</v>
      </c>
      <c r="AT73">
        <f t="shared" si="39"/>
        <v>41.75147928994089</v>
      </c>
      <c r="AU73">
        <f t="shared" si="39"/>
        <v>47.928994082840305</v>
      </c>
      <c r="AV73">
        <f t="shared" si="39"/>
        <v>54.5325443786983</v>
      </c>
      <c r="AW73">
        <f t="shared" si="39"/>
        <v>61.562130177514874</v>
      </c>
      <c r="AX73">
        <f t="shared" si="39"/>
        <v>69.01775147929001</v>
      </c>
      <c r="AY73">
        <f t="shared" si="39"/>
        <v>76.89940828402375</v>
      </c>
      <c r="AZ73">
        <f t="shared" si="39"/>
        <v>85.20710059171606</v>
      </c>
      <c r="BA73">
        <f t="shared" si="39"/>
        <v>93.94082840236696</v>
      </c>
      <c r="BB73">
        <f t="shared" si="39"/>
        <v>103.10059171597644</v>
      </c>
      <c r="BC73">
        <f t="shared" si="39"/>
        <v>112.68639053254448</v>
      </c>
      <c r="BD73">
        <f t="shared" si="39"/>
        <v>122.69822485207112</v>
      </c>
      <c r="BE73">
        <f t="shared" si="39"/>
        <v>133.13609467455635</v>
      </c>
      <c r="BF73">
        <f t="shared" si="39"/>
        <v>144</v>
      </c>
      <c r="BG73">
        <f>SUM(F73:BF73)</f>
        <v>2641.8461538461547</v>
      </c>
    </row>
    <row r="74" spans="6:59" ht="12.75">
      <c r="F74">
        <f>F38*F6</f>
        <v>190.6171339557169</v>
      </c>
      <c r="G74">
        <f aca="true" t="shared" si="40" ref="G74:BF74">G38*G6</f>
        <v>175.86896381076102</v>
      </c>
      <c r="H74">
        <f t="shared" si="40"/>
        <v>161.75764715167583</v>
      </c>
      <c r="I74">
        <f t="shared" si="40"/>
        <v>148.27508714015045</v>
      </c>
      <c r="J74">
        <f t="shared" si="40"/>
        <v>135.41380187129226</v>
      </c>
      <c r="K74">
        <f t="shared" si="40"/>
        <v>123.16687551580878</v>
      </c>
      <c r="L74">
        <f t="shared" si="40"/>
        <v>111.52791495984168</v>
      </c>
      <c r="M74">
        <f t="shared" si="40"/>
        <v>100.49101124468834</v>
      </c>
      <c r="N74">
        <f t="shared" si="40"/>
        <v>90.05070521478386</v>
      </c>
      <c r="O74">
        <f t="shared" si="40"/>
        <v>80.20195687047831</v>
      </c>
      <c r="P74">
        <f t="shared" si="40"/>
        <v>70.94011799576617</v>
      </c>
      <c r="Q74">
        <f t="shared" si="40"/>
        <v>62.26090769290862</v>
      </c>
      <c r="R74">
        <f t="shared" si="40"/>
        <v>54.16039050797976</v>
      </c>
      <c r="S74">
        <f t="shared" si="40"/>
        <v>46.634956875489124</v>
      </c>
      <c r="T74">
        <f t="shared" si="40"/>
        <v>39.68130564781185</v>
      </c>
      <c r="U74">
        <f t="shared" si="40"/>
        <v>33.29642850729256</v>
      </c>
      <c r="V74">
        <f t="shared" si="40"/>
        <v>27.477596086523015</v>
      </c>
      <c r="W74">
        <f t="shared" si="40"/>
        <v>22.222345646182898</v>
      </c>
      <c r="X74">
        <f t="shared" si="40"/>
        <v>17.528470180601836</v>
      </c>
      <c r="Y74">
        <f t="shared" si="40"/>
        <v>13.394008839366862</v>
      </c>
      <c r="Z74">
        <f t="shared" si="40"/>
        <v>9.817238569293668</v>
      </c>
      <c r="AA74">
        <f t="shared" si="40"/>
        <v>6.79666689528391</v>
      </c>
      <c r="AB74">
        <f t="shared" si="40"/>
        <v>4.33102577128525</v>
      </c>
      <c r="AC74">
        <f t="shared" si="40"/>
        <v>2.4192664440458453</v>
      </c>
      <c r="AD74">
        <f t="shared" si="40"/>
        <v>1.0605552828333642</v>
      </c>
      <c r="AE74">
        <f t="shared" si="40"/>
        <v>0.2542705379579711</v>
      </c>
      <c r="AF74">
        <f t="shared" si="40"/>
        <v>1.5103681960809367E-16</v>
      </c>
      <c r="AG74">
        <f t="shared" si="40"/>
        <v>0.2975395402403787</v>
      </c>
      <c r="AH74">
        <f t="shared" si="40"/>
        <v>1.146892521086326</v>
      </c>
      <c r="AI74">
        <f t="shared" si="40"/>
        <v>2.548270073413418</v>
      </c>
      <c r="AJ74">
        <f t="shared" si="40"/>
        <v>4.5020922458500205</v>
      </c>
      <c r="AK74">
        <f t="shared" si="40"/>
        <v>7.008990039246294</v>
      </c>
      <c r="AL74">
        <f t="shared" si="40"/>
        <v>10.069808348042878</v>
      </c>
      <c r="AM74">
        <f t="shared" si="40"/>
        <v>13.685609839131747</v>
      </c>
      <c r="AN74">
        <f t="shared" si="40"/>
        <v>17.857679808241095</v>
      </c>
      <c r="AO74">
        <f t="shared" si="40"/>
        <v>22.58753206406635</v>
      </c>
      <c r="AP74">
        <f t="shared" si="40"/>
        <v>27.87691590149276</v>
      </c>
      <c r="AQ74">
        <f t="shared" si="40"/>
        <v>33.72782423755866</v>
      </c>
      <c r="AR74">
        <f t="shared" si="40"/>
        <v>40.142502997535615</v>
      </c>
      <c r="AS74">
        <f t="shared" si="40"/>
        <v>47.12346185397942</v>
      </c>
      <c r="AT74">
        <f t="shared" si="40"/>
        <v>54.6734864391866</v>
      </c>
      <c r="AU74">
        <f t="shared" si="40"/>
        <v>62.79565217161128</v>
      </c>
      <c r="AV74">
        <f t="shared" si="40"/>
        <v>71.4933398599849</v>
      </c>
      <c r="AW74">
        <f t="shared" si="40"/>
        <v>80.77025327576352</v>
      </c>
      <c r="AX74">
        <f t="shared" si="40"/>
        <v>90.63043891587242</v>
      </c>
      <c r="AY74">
        <f t="shared" si="40"/>
        <v>101.07830821447631</v>
      </c>
      <c r="AZ74">
        <f t="shared" si="40"/>
        <v>112.11866250582639</v>
      </c>
      <c r="BA74">
        <f t="shared" si="40"/>
        <v>123.75672109156456</v>
      </c>
      <c r="BB74">
        <f t="shared" si="40"/>
        <v>135.99815282700803</v>
      </c>
      <c r="BC74">
        <f t="shared" si="40"/>
        <v>148.84911171410613</v>
      </c>
      <c r="BD74">
        <f t="shared" si="40"/>
        <v>162.31627707683666</v>
      </c>
      <c r="BE74">
        <f t="shared" si="40"/>
        <v>176.40689900134547</v>
      </c>
      <c r="BF74">
        <f t="shared" si="40"/>
        <v>191.12884985275065</v>
      </c>
      <c r="BG74">
        <f>SUM(F74:BF74)</f>
        <v>3470.2379216320383</v>
      </c>
    </row>
    <row r="75" spans="22:23" ht="12.75">
      <c r="V75" s="12"/>
      <c r="W75" s="17"/>
    </row>
    <row r="76" spans="22:23" ht="12.75">
      <c r="V76" s="12"/>
      <c r="W76" s="17"/>
    </row>
    <row r="77" spans="22:23" ht="12.75">
      <c r="V77" s="12"/>
      <c r="W77" s="17"/>
    </row>
    <row r="78" spans="22:23" ht="12.75">
      <c r="V78" s="12"/>
      <c r="W78" s="17"/>
    </row>
    <row r="79" spans="22:23" ht="12.75">
      <c r="V79" s="12"/>
      <c r="W79" s="17"/>
    </row>
    <row r="80" spans="22:23" ht="12.75">
      <c r="V80" s="12"/>
      <c r="W80" s="17"/>
    </row>
    <row r="81" spans="22:23" ht="12.75">
      <c r="V81" s="12"/>
      <c r="W81" s="17"/>
    </row>
    <row r="82" spans="22:23" ht="12.75">
      <c r="V82" s="12"/>
      <c r="W82" s="17"/>
    </row>
    <row r="83" spans="22:23" ht="12.75">
      <c r="V83" s="12"/>
      <c r="W83" s="17"/>
    </row>
    <row r="84" spans="22:23" ht="12.75">
      <c r="V84" s="12"/>
      <c r="W84" s="17"/>
    </row>
    <row r="85" spans="22:23" ht="12.75">
      <c r="V85" s="12"/>
      <c r="W85" s="17"/>
    </row>
    <row r="86" spans="22:23" ht="12.75">
      <c r="V86" s="12"/>
      <c r="W86" s="17"/>
    </row>
    <row r="87" spans="22:23" ht="12.75">
      <c r="V87" s="12"/>
      <c r="W87" s="17"/>
    </row>
    <row r="88" spans="22:23" ht="12.75">
      <c r="V88" s="12"/>
      <c r="W88" s="17"/>
    </row>
    <row r="89" spans="22:23" ht="12.75">
      <c r="V89" s="12"/>
      <c r="W89" s="17"/>
    </row>
    <row r="90" spans="22:23" ht="12.75">
      <c r="V90" s="12"/>
      <c r="W90" s="17"/>
    </row>
    <row r="91" spans="7:23" ht="12.75">
      <c r="G91" s="39"/>
      <c r="H91" s="39"/>
      <c r="I91" s="39"/>
      <c r="J91" s="39"/>
      <c r="K91" s="39"/>
      <c r="L91" s="39"/>
      <c r="M91" s="39"/>
      <c r="N91" s="39"/>
      <c r="V91" s="12"/>
      <c r="W91" s="17"/>
    </row>
    <row r="92" spans="7:23" ht="12.75">
      <c r="G92" s="39"/>
      <c r="H92" s="39"/>
      <c r="I92" s="39"/>
      <c r="J92" s="39"/>
      <c r="K92" s="39"/>
      <c r="L92" s="39"/>
      <c r="M92" s="39"/>
      <c r="N92" s="39"/>
      <c r="V92" s="12"/>
      <c r="W92" s="17"/>
    </row>
    <row r="93" spans="7:23" ht="12.75">
      <c r="G93" s="39"/>
      <c r="H93" s="39"/>
      <c r="I93" s="39"/>
      <c r="J93" s="39"/>
      <c r="K93" s="39"/>
      <c r="L93" s="39"/>
      <c r="M93" s="39"/>
      <c r="N93" s="39"/>
      <c r="V93" s="12"/>
      <c r="W93" s="17"/>
    </row>
    <row r="94" spans="7:23" ht="12.75">
      <c r="G94" s="39"/>
      <c r="H94" s="39"/>
      <c r="I94" s="39"/>
      <c r="J94" s="39"/>
      <c r="K94" s="39"/>
      <c r="L94" s="39"/>
      <c r="M94" s="39"/>
      <c r="N94" s="39"/>
      <c r="V94" s="12"/>
      <c r="W94" s="17"/>
    </row>
    <row r="95" spans="7:23" ht="12.75">
      <c r="G95" s="39"/>
      <c r="H95" s="40"/>
      <c r="I95" s="39"/>
      <c r="J95" s="39"/>
      <c r="K95" s="39"/>
      <c r="L95" s="39"/>
      <c r="M95" s="39"/>
      <c r="N95" s="39"/>
      <c r="V95" s="12"/>
      <c r="W95" s="17"/>
    </row>
    <row r="96" spans="7:23" ht="12.75">
      <c r="G96" s="39"/>
      <c r="H96" s="40"/>
      <c r="I96" s="39"/>
      <c r="J96" s="39"/>
      <c r="K96" s="39"/>
      <c r="L96" s="39"/>
      <c r="M96" s="39"/>
      <c r="N96" s="39"/>
      <c r="V96" s="12"/>
      <c r="W96" s="17"/>
    </row>
    <row r="97" spans="7:23" ht="12.75">
      <c r="G97" s="39"/>
      <c r="H97" s="40"/>
      <c r="I97" s="39"/>
      <c r="J97" s="39"/>
      <c r="K97" s="39"/>
      <c r="L97" s="39"/>
      <c r="M97" s="39"/>
      <c r="N97" s="39"/>
      <c r="V97" s="12"/>
      <c r="W97" s="17"/>
    </row>
    <row r="98" spans="7:23" ht="12.75">
      <c r="G98" s="39"/>
      <c r="H98" s="39"/>
      <c r="I98" s="39"/>
      <c r="J98" s="39"/>
      <c r="K98" s="39"/>
      <c r="L98" s="39"/>
      <c r="M98" s="39"/>
      <c r="N98" s="39"/>
      <c r="V98" s="12"/>
      <c r="W98" s="17"/>
    </row>
    <row r="99" spans="7:23" ht="12.75">
      <c r="G99" s="39"/>
      <c r="H99" s="39"/>
      <c r="I99" s="39"/>
      <c r="J99" s="39"/>
      <c r="K99" s="39"/>
      <c r="L99" s="39"/>
      <c r="M99" s="39"/>
      <c r="N99" s="39"/>
      <c r="V99" s="12"/>
      <c r="W99" s="17"/>
    </row>
    <row r="100" spans="22:23" ht="12.75">
      <c r="V100" s="12"/>
      <c r="W100" s="17"/>
    </row>
    <row r="101" spans="22:23" ht="12.75">
      <c r="V101" s="12"/>
      <c r="W101" s="17"/>
    </row>
    <row r="102" spans="22:23" ht="12.75">
      <c r="V102" s="12"/>
      <c r="W102" s="17"/>
    </row>
    <row r="103" spans="22:23" ht="12.75">
      <c r="V103" s="12"/>
      <c r="W103" s="17"/>
    </row>
    <row r="104" spans="13:23" ht="12.75">
      <c r="M104" s="12"/>
      <c r="N104" s="17"/>
      <c r="V104" s="12"/>
      <c r="W104" s="17"/>
    </row>
    <row r="105" spans="22:23" ht="12.75">
      <c r="V105" s="12"/>
      <c r="W105" s="17"/>
    </row>
    <row r="106" spans="22:23" ht="12.75">
      <c r="V106" s="12"/>
      <c r="W106" s="17"/>
    </row>
    <row r="107" spans="13:23" ht="12.75">
      <c r="M107" s="12"/>
      <c r="N107" s="12"/>
      <c r="O107" s="12"/>
      <c r="V107" s="12"/>
      <c r="W107" s="17"/>
    </row>
    <row r="108" spans="22:23" ht="12.75">
      <c r="V108" s="12"/>
      <c r="W108" s="17"/>
    </row>
    <row r="109" spans="13:23" ht="12.75">
      <c r="M109" s="12"/>
      <c r="N109" s="12"/>
      <c r="O109" s="12"/>
      <c r="V109" s="12"/>
      <c r="W109" s="17"/>
    </row>
    <row r="110" spans="22:23" ht="12.75">
      <c r="V110" s="12"/>
      <c r="W110" s="17"/>
    </row>
    <row r="111" spans="13:23" ht="12.75">
      <c r="M111" s="12"/>
      <c r="N111" s="17"/>
      <c r="O111" s="17"/>
      <c r="V111" s="12"/>
      <c r="W111" s="17"/>
    </row>
    <row r="112" spans="13:23" ht="12.75">
      <c r="M112" s="12"/>
      <c r="N112" s="17"/>
      <c r="O112" s="17"/>
      <c r="V112" s="12"/>
      <c r="W112" s="17"/>
    </row>
    <row r="113" spans="13:23" ht="12.75">
      <c r="M113" s="12"/>
      <c r="N113" s="17"/>
      <c r="O113" s="17"/>
      <c r="V113" s="12"/>
      <c r="W113" s="17"/>
    </row>
    <row r="114" spans="13:23" ht="12.75">
      <c r="M114" s="12"/>
      <c r="N114" s="17"/>
      <c r="O114" s="17"/>
      <c r="V114" s="12"/>
      <c r="W114" s="17"/>
    </row>
    <row r="115" spans="13:23" ht="12.75">
      <c r="M115" s="12"/>
      <c r="N115" s="17"/>
      <c r="O115" s="17"/>
      <c r="V115" s="12"/>
      <c r="W115" s="17"/>
    </row>
    <row r="116" spans="13:23" ht="12.75">
      <c r="M116" s="12"/>
      <c r="N116" s="17"/>
      <c r="O116" s="17"/>
      <c r="V116" s="12"/>
      <c r="W116" s="17"/>
    </row>
    <row r="117" spans="13:23" ht="12.75">
      <c r="M117" s="12"/>
      <c r="N117" s="17"/>
      <c r="O117" s="17"/>
      <c r="V117" s="12"/>
      <c r="W117" s="17"/>
    </row>
    <row r="118" ht="12.75">
      <c r="M118" s="12"/>
    </row>
    <row r="119" ht="12.75">
      <c r="M119" s="12"/>
    </row>
    <row r="120" spans="12:24" ht="12.75">
      <c r="L120" s="15"/>
      <c r="M120" s="15"/>
      <c r="V120" s="12"/>
      <c r="W120" s="12"/>
      <c r="X120" s="12"/>
    </row>
    <row r="121" ht="12.75">
      <c r="M121" s="12"/>
    </row>
    <row r="122" spans="13:24" ht="12.75">
      <c r="M122" s="12"/>
      <c r="V122" s="12"/>
      <c r="W122" s="12"/>
      <c r="X122" s="12"/>
    </row>
    <row r="123" ht="12.75">
      <c r="M123" s="12"/>
    </row>
    <row r="124" spans="13:24" ht="12.75">
      <c r="M124" s="12"/>
      <c r="V124" s="12"/>
      <c r="W124" s="17"/>
      <c r="X124" s="17"/>
    </row>
    <row r="125" spans="13:24" ht="12.75">
      <c r="M125" s="12"/>
      <c r="V125" s="12"/>
      <c r="W125" s="17"/>
      <c r="X125" s="17"/>
    </row>
    <row r="126" spans="13:24" ht="12.75">
      <c r="M126" s="12"/>
      <c r="V126" s="12"/>
      <c r="W126" s="17"/>
      <c r="X126" s="17"/>
    </row>
    <row r="127" spans="13:24" ht="12.75">
      <c r="M127" s="12"/>
      <c r="V127" s="12"/>
      <c r="W127" s="17"/>
      <c r="X127" s="17"/>
    </row>
    <row r="128" spans="13:24" ht="12.75">
      <c r="M128" s="12"/>
      <c r="V128" s="12"/>
      <c r="W128" s="17"/>
      <c r="X128" s="17"/>
    </row>
    <row r="129" spans="13:24" ht="12.75">
      <c r="M129" s="12"/>
      <c r="V129" s="12"/>
      <c r="W129" s="17"/>
      <c r="X129" s="17"/>
    </row>
    <row r="130" spans="12:24" ht="12.75">
      <c r="L130" s="15"/>
      <c r="M130" s="19"/>
      <c r="V130" s="12"/>
      <c r="W130" s="17"/>
      <c r="X130" s="17"/>
    </row>
    <row r="131" spans="13:24" ht="12.75">
      <c r="M131" s="12"/>
      <c r="V131" s="12"/>
      <c r="W131" s="17"/>
      <c r="X131" s="17"/>
    </row>
    <row r="132" spans="13:24" ht="12.75">
      <c r="M132" s="12"/>
      <c r="V132" s="12"/>
      <c r="W132" s="17"/>
      <c r="X132" s="17"/>
    </row>
    <row r="133" spans="13:24" ht="12.75">
      <c r="M133" s="12"/>
      <c r="U133" s="15"/>
      <c r="V133" s="15"/>
      <c r="W133" s="18"/>
      <c r="X133" s="18"/>
    </row>
    <row r="134" spans="13:24" ht="12.75">
      <c r="M134" s="12"/>
      <c r="V134" s="12"/>
      <c r="W134" s="17"/>
      <c r="X134" s="17"/>
    </row>
    <row r="135" spans="13:24" ht="12.75">
      <c r="M135" s="12"/>
      <c r="V135" s="12"/>
      <c r="W135" s="17"/>
      <c r="X135" s="17"/>
    </row>
    <row r="136" spans="13:24" ht="12.75">
      <c r="M136" s="12"/>
      <c r="V136" s="12"/>
      <c r="W136" s="17"/>
      <c r="X136" s="17"/>
    </row>
    <row r="137" spans="12:24" ht="12.75">
      <c r="L137" s="15"/>
      <c r="M137" s="19"/>
      <c r="V137" s="12"/>
      <c r="W137" s="17"/>
      <c r="X137" s="17"/>
    </row>
    <row r="138" spans="13:24" ht="12.75">
      <c r="M138" s="12"/>
      <c r="V138" s="12"/>
      <c r="W138" s="17"/>
      <c r="X138" s="17"/>
    </row>
    <row r="139" spans="22:24" ht="12.75">
      <c r="V139" s="12"/>
      <c r="W139" s="17"/>
      <c r="X139" s="17"/>
    </row>
    <row r="140" spans="22:24" ht="12.75">
      <c r="V140" s="12"/>
      <c r="W140" s="17"/>
      <c r="X140" s="17"/>
    </row>
    <row r="141" spans="22:24" ht="12.75">
      <c r="V141" s="12"/>
      <c r="W141" s="17"/>
      <c r="X141" s="17"/>
    </row>
    <row r="142" spans="13:24" ht="12.75">
      <c r="M142" s="12"/>
      <c r="V142" s="12"/>
      <c r="W142" s="17"/>
      <c r="X142" s="17"/>
    </row>
    <row r="143" spans="13:24" ht="12.75">
      <c r="M143" s="12"/>
      <c r="U143" s="15"/>
      <c r="V143" s="19"/>
      <c r="W143" s="18"/>
      <c r="X143" s="18"/>
    </row>
    <row r="144" spans="13:24" ht="12.75">
      <c r="M144" s="12"/>
      <c r="V144" s="12"/>
      <c r="W144" s="17"/>
      <c r="X144" s="17"/>
    </row>
    <row r="145" spans="22:24" ht="12.75">
      <c r="V145" s="12"/>
      <c r="W145" s="17"/>
      <c r="X145" s="17"/>
    </row>
    <row r="146" spans="22:24" ht="12.75">
      <c r="V146" s="12"/>
      <c r="W146" s="17"/>
      <c r="X146" s="17"/>
    </row>
    <row r="147" spans="22:24" ht="12.75">
      <c r="V147" s="12"/>
      <c r="W147" s="17"/>
      <c r="X147" s="17"/>
    </row>
    <row r="148" spans="22:24" ht="12.75">
      <c r="V148" s="12"/>
      <c r="W148" s="17"/>
      <c r="X148" s="17"/>
    </row>
    <row r="149" spans="22:24" ht="12.75">
      <c r="V149" s="12"/>
      <c r="W149" s="17"/>
      <c r="X149" s="17"/>
    </row>
    <row r="150" spans="21:24" ht="12.75">
      <c r="U150" s="15"/>
      <c r="V150" s="19"/>
      <c r="W150" s="18"/>
      <c r="X150" s="18"/>
    </row>
    <row r="151" spans="22:24" ht="12.75">
      <c r="V151" s="12"/>
      <c r="W151" s="17"/>
      <c r="X151" s="17"/>
    </row>
  </sheetData>
  <sheetProtection sheet="1" objects="1" scenarios="1"/>
  <mergeCells count="4">
    <mergeCell ref="R7:U7"/>
    <mergeCell ref="J7:M7"/>
    <mergeCell ref="N7:Q7"/>
    <mergeCell ref="L1:M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Schlagheck</dc:creator>
  <cp:keywords/>
  <dc:description/>
  <cp:lastModifiedBy>user34</cp:lastModifiedBy>
  <cp:lastPrinted>2002-04-08T14:18:03Z</cp:lastPrinted>
  <dcterms:created xsi:type="dcterms:W3CDTF">2000-11-29T12:45:01Z</dcterms:created>
  <dcterms:modified xsi:type="dcterms:W3CDTF">2002-04-11T15:18:24Z</dcterms:modified>
  <cp:category/>
  <cp:version/>
  <cp:contentType/>
  <cp:contentStatus/>
</cp:coreProperties>
</file>